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СамоцветовВВ\Downloads\"/>
    </mc:Choice>
  </mc:AlternateContent>
  <xr:revisionPtr revIDLastSave="0" documentId="13_ncr:1_{93FB53CC-C29C-42BF-AA74-CE800DBDC6F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я очередь. РЕД1" sheetId="1" r:id="rId1"/>
    <sheet name="1я очередь 17.10" sheetId="2" r:id="rId2"/>
    <sheet name="1я очередь 18.10 " sheetId="3" r:id="rId3"/>
  </sheets>
  <definedNames>
    <definedName name="_xlnm.Print_Titles" localSheetId="1">'1я очередь 17.10'!$10:$11</definedName>
    <definedName name="_xlnm.Print_Titles" localSheetId="2">'1я очередь 18.10 '!$10:$11</definedName>
    <definedName name="_xlnm.Print_Titles" localSheetId="0">'1я очередь. РЕД1'!$10:$11</definedName>
    <definedName name="_xlnm.Print_Area" localSheetId="1">'1я очередь 17.10'!$A$1:$CC$96</definedName>
    <definedName name="_xlnm.Print_Area" localSheetId="2">'1я очередь 18.10 '!$A$1:$BQ$96</definedName>
    <definedName name="_xlnm.Print_Area" localSheetId="0">'1я очередь. РЕД1'!$A$1:$CC$96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2" i="3" l="1"/>
  <c r="BD82" i="3"/>
  <c r="AZ82" i="3"/>
  <c r="AV82" i="3"/>
  <c r="AR82" i="3"/>
  <c r="AN82" i="3"/>
  <c r="AJ82" i="3"/>
  <c r="AF82" i="3"/>
  <c r="AB82" i="3"/>
  <c r="X82" i="3"/>
  <c r="P82" i="3"/>
  <c r="BO79" i="3" l="1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G67" i="3"/>
  <c r="F64" i="3"/>
  <c r="G62" i="3"/>
  <c r="F62" i="3"/>
  <c r="G60" i="3"/>
  <c r="G58" i="3"/>
  <c r="F58" i="3"/>
  <c r="G55" i="3"/>
  <c r="F55" i="3" s="1"/>
  <c r="G53" i="3"/>
  <c r="F53" i="3"/>
  <c r="G51" i="3"/>
  <c r="F51" i="3" s="1"/>
  <c r="G49" i="3"/>
  <c r="F49" i="3"/>
  <c r="G47" i="3"/>
  <c r="F47" i="3" s="1"/>
  <c r="G44" i="3"/>
  <c r="F44" i="3"/>
  <c r="G42" i="3"/>
  <c r="G40" i="3"/>
  <c r="F40" i="3"/>
  <c r="G38" i="3"/>
  <c r="G36" i="3"/>
  <c r="F36" i="3"/>
  <c r="G34" i="3"/>
  <c r="G32" i="3"/>
  <c r="F32" i="3"/>
  <c r="G30" i="3"/>
  <c r="G28" i="3"/>
  <c r="F28" i="3"/>
  <c r="G26" i="3"/>
  <c r="G24" i="3"/>
  <c r="F24" i="3"/>
  <c r="G22" i="3"/>
  <c r="G20" i="3"/>
  <c r="F20" i="3"/>
  <c r="G18" i="3"/>
  <c r="G16" i="3"/>
  <c r="F16" i="3"/>
  <c r="G14" i="3"/>
  <c r="BL82" i="2"/>
  <c r="AV82" i="2"/>
  <c r="AF82" i="2"/>
  <c r="CA79" i="2"/>
  <c r="BZ79" i="2"/>
  <c r="BX81" i="2" s="1"/>
  <c r="BY79" i="2"/>
  <c r="BX79" i="2"/>
  <c r="BW79" i="2"/>
  <c r="BV79" i="2"/>
  <c r="BT81" i="2" s="1"/>
  <c r="BU79" i="2"/>
  <c r="BT79" i="2"/>
  <c r="BS79" i="2"/>
  <c r="BR79" i="2"/>
  <c r="BQ79" i="2"/>
  <c r="BP79" i="2"/>
  <c r="BP81" i="2" s="1"/>
  <c r="BO79" i="2"/>
  <c r="BN79" i="2"/>
  <c r="BM79" i="2"/>
  <c r="BL79" i="2"/>
  <c r="BL81" i="2" s="1"/>
  <c r="BK79" i="2"/>
  <c r="BJ79" i="2"/>
  <c r="BH81" i="2" s="1"/>
  <c r="BI79" i="2"/>
  <c r="BH79" i="2"/>
  <c r="BG79" i="2"/>
  <c r="BF79" i="2"/>
  <c r="BD81" i="2" s="1"/>
  <c r="BE79" i="2"/>
  <c r="BD79" i="2"/>
  <c r="BC79" i="2"/>
  <c r="BB79" i="2"/>
  <c r="BA79" i="2"/>
  <c r="AZ79" i="2"/>
  <c r="AZ81" i="2" s="1"/>
  <c r="AY79" i="2"/>
  <c r="AX79" i="2"/>
  <c r="AW79" i="2"/>
  <c r="AV79" i="2"/>
  <c r="AV81" i="2" s="1"/>
  <c r="AU79" i="2"/>
  <c r="AT79" i="2"/>
  <c r="AR81" i="2" s="1"/>
  <c r="AS79" i="2"/>
  <c r="AR79" i="2"/>
  <c r="AQ79" i="2"/>
  <c r="AP79" i="2"/>
  <c r="AN81" i="2" s="1"/>
  <c r="AO79" i="2"/>
  <c r="AN79" i="2"/>
  <c r="AM79" i="2"/>
  <c r="AL79" i="2"/>
  <c r="AK79" i="2"/>
  <c r="AJ79" i="2"/>
  <c r="AJ81" i="2" s="1"/>
  <c r="AI79" i="2"/>
  <c r="AH79" i="2"/>
  <c r="AG79" i="2"/>
  <c r="AF79" i="2"/>
  <c r="AF81" i="2" s="1"/>
  <c r="AE79" i="2"/>
  <c r="AD79" i="2"/>
  <c r="AB81" i="2" s="1"/>
  <c r="AC79" i="2"/>
  <c r="AB79" i="2"/>
  <c r="AA79" i="2"/>
  <c r="Z79" i="2"/>
  <c r="X81" i="2" s="1"/>
  <c r="Y79" i="2"/>
  <c r="X79" i="2"/>
  <c r="W79" i="2"/>
  <c r="V79" i="2"/>
  <c r="U79" i="2"/>
  <c r="T79" i="2"/>
  <c r="S79" i="2"/>
  <c r="R79" i="2"/>
  <c r="Q79" i="2"/>
  <c r="P79" i="2"/>
  <c r="CA78" i="2"/>
  <c r="BZ78" i="2"/>
  <c r="BX80" i="2" s="1"/>
  <c r="BY78" i="2"/>
  <c r="BX78" i="2"/>
  <c r="BW78" i="2"/>
  <c r="BV78" i="2"/>
  <c r="BT80" i="2" s="1"/>
  <c r="BU78" i="2"/>
  <c r="BT78" i="2"/>
  <c r="BS78" i="2"/>
  <c r="BR78" i="2"/>
  <c r="BQ78" i="2"/>
  <c r="BP78" i="2"/>
  <c r="BP80" i="2" s="1"/>
  <c r="BO78" i="2"/>
  <c r="BN78" i="2"/>
  <c r="BM78" i="2"/>
  <c r="BL78" i="2"/>
  <c r="BL80" i="2" s="1"/>
  <c r="BK78" i="2"/>
  <c r="BJ78" i="2"/>
  <c r="BH80" i="2" s="1"/>
  <c r="BI78" i="2"/>
  <c r="BH78" i="2"/>
  <c r="BG78" i="2"/>
  <c r="BF78" i="2"/>
  <c r="BD80" i="2" s="1"/>
  <c r="BE78" i="2"/>
  <c r="BD78" i="2"/>
  <c r="BC78" i="2"/>
  <c r="BB78" i="2"/>
  <c r="BA78" i="2"/>
  <c r="AZ78" i="2"/>
  <c r="AZ80" i="2" s="1"/>
  <c r="AY78" i="2"/>
  <c r="AX78" i="2"/>
  <c r="AW78" i="2"/>
  <c r="AV78" i="2"/>
  <c r="AV80" i="2" s="1"/>
  <c r="AU78" i="2"/>
  <c r="AT78" i="2"/>
  <c r="AR80" i="2" s="1"/>
  <c r="AS78" i="2"/>
  <c r="AR78" i="2"/>
  <c r="AQ78" i="2"/>
  <c r="AP78" i="2"/>
  <c r="AN80" i="2" s="1"/>
  <c r="AO78" i="2"/>
  <c r="AN78" i="2"/>
  <c r="AM78" i="2"/>
  <c r="AL78" i="2"/>
  <c r="AK78" i="2"/>
  <c r="AJ78" i="2"/>
  <c r="AJ80" i="2" s="1"/>
  <c r="AI78" i="2"/>
  <c r="AH78" i="2"/>
  <c r="AG78" i="2"/>
  <c r="AF78" i="2"/>
  <c r="AF80" i="2" s="1"/>
  <c r="AE78" i="2"/>
  <c r="AD78" i="2"/>
  <c r="AB80" i="2" s="1"/>
  <c r="AC78" i="2"/>
  <c r="AB78" i="2"/>
  <c r="AA78" i="2"/>
  <c r="Z78" i="2"/>
  <c r="X80" i="2" s="1"/>
  <c r="Y78" i="2"/>
  <c r="X78" i="2"/>
  <c r="W78" i="2"/>
  <c r="V78" i="2"/>
  <c r="U78" i="2"/>
  <c r="T78" i="2"/>
  <c r="T80" i="2" s="1"/>
  <c r="S78" i="2"/>
  <c r="R78" i="2"/>
  <c r="Q78" i="2"/>
  <c r="P78" i="2"/>
  <c r="G67" i="2"/>
  <c r="G75" i="2" s="1"/>
  <c r="G76" i="2" s="1"/>
  <c r="H64" i="2" s="1"/>
  <c r="J64" i="2" s="1"/>
  <c r="F64" i="2"/>
  <c r="G62" i="2"/>
  <c r="F62" i="2"/>
  <c r="G60" i="2"/>
  <c r="F60" i="2"/>
  <c r="G58" i="2"/>
  <c r="F58" i="2"/>
  <c r="G55" i="2"/>
  <c r="F55" i="2"/>
  <c r="G53" i="2"/>
  <c r="F53" i="2"/>
  <c r="G51" i="2"/>
  <c r="F51" i="2"/>
  <c r="G49" i="2"/>
  <c r="F49" i="2"/>
  <c r="G47" i="2"/>
  <c r="F47" i="2"/>
  <c r="G44" i="2"/>
  <c r="F44" i="2"/>
  <c r="G42" i="2"/>
  <c r="F42" i="2"/>
  <c r="G40" i="2"/>
  <c r="F40" i="2"/>
  <c r="G38" i="2"/>
  <c r="F38" i="2"/>
  <c r="G36" i="2"/>
  <c r="F36" i="2"/>
  <c r="G34" i="2"/>
  <c r="F34" i="2"/>
  <c r="G32" i="2"/>
  <c r="F32" i="2"/>
  <c r="G30" i="2"/>
  <c r="F30" i="2"/>
  <c r="G28" i="2"/>
  <c r="F28" i="2"/>
  <c r="G26" i="2"/>
  <c r="F26" i="2"/>
  <c r="G24" i="2"/>
  <c r="F24" i="2"/>
  <c r="G22" i="2"/>
  <c r="F22" i="2"/>
  <c r="G20" i="2"/>
  <c r="BT82" i="2" s="1"/>
  <c r="F20" i="2"/>
  <c r="G18" i="2"/>
  <c r="F18" i="2"/>
  <c r="G16" i="2"/>
  <c r="BH82" i="2" s="1"/>
  <c r="F16" i="2"/>
  <c r="G14" i="2"/>
  <c r="AB82" i="2" s="1"/>
  <c r="F14" i="2"/>
  <c r="G76" i="1"/>
  <c r="G75" i="1"/>
  <c r="BT82" i="1"/>
  <c r="BP82" i="1"/>
  <c r="BL82" i="1"/>
  <c r="BH82" i="1"/>
  <c r="BD82" i="1"/>
  <c r="AZ82" i="1"/>
  <c r="AV82" i="1"/>
  <c r="AR82" i="1"/>
  <c r="G75" i="3" l="1"/>
  <c r="G76" i="3" s="1"/>
  <c r="H18" i="3" s="1"/>
  <c r="J18" i="3" s="1"/>
  <c r="P80" i="3"/>
  <c r="AB80" i="3"/>
  <c r="AJ80" i="3"/>
  <c r="AR80" i="3"/>
  <c r="AZ80" i="3"/>
  <c r="BL80" i="3"/>
  <c r="T81" i="3"/>
  <c r="AB81" i="3"/>
  <c r="AJ81" i="3"/>
  <c r="AV81" i="3"/>
  <c r="BL81" i="3"/>
  <c r="H24" i="3"/>
  <c r="J24" i="3" s="1"/>
  <c r="H28" i="3"/>
  <c r="J28" i="3" s="1"/>
  <c r="H32" i="3"/>
  <c r="J32" i="3" s="1"/>
  <c r="H36" i="3"/>
  <c r="J36" i="3" s="1"/>
  <c r="H40" i="3"/>
  <c r="J40" i="3" s="1"/>
  <c r="H44" i="3"/>
  <c r="J44" i="3" s="1"/>
  <c r="H22" i="3"/>
  <c r="J22" i="3" s="1"/>
  <c r="H26" i="3"/>
  <c r="J26" i="3" s="1"/>
  <c r="H30" i="3"/>
  <c r="J30" i="3" s="1"/>
  <c r="H34" i="3"/>
  <c r="J34" i="3" s="1"/>
  <c r="H38" i="3"/>
  <c r="J38" i="3" s="1"/>
  <c r="H42" i="3"/>
  <c r="J42" i="3" s="1"/>
  <c r="H60" i="3"/>
  <c r="J60" i="3" s="1"/>
  <c r="T80" i="3"/>
  <c r="AF80" i="3"/>
  <c r="AV80" i="3"/>
  <c r="P81" i="3"/>
  <c r="AF81" i="3"/>
  <c r="AR81" i="3"/>
  <c r="BH81" i="3"/>
  <c r="F14" i="3"/>
  <c r="F18" i="3"/>
  <c r="F22" i="3"/>
  <c r="F26" i="3"/>
  <c r="F30" i="3"/>
  <c r="F34" i="3"/>
  <c r="F38" i="3"/>
  <c r="F42" i="3"/>
  <c r="F60" i="3"/>
  <c r="BH80" i="3"/>
  <c r="AZ81" i="3"/>
  <c r="X80" i="3"/>
  <c r="AN80" i="3"/>
  <c r="BD80" i="3"/>
  <c r="X81" i="3"/>
  <c r="AN81" i="3"/>
  <c r="BD81" i="3"/>
  <c r="H62" i="3"/>
  <c r="J62" i="3" s="1"/>
  <c r="H58" i="3"/>
  <c r="J58" i="3" s="1"/>
  <c r="H55" i="3"/>
  <c r="J55" i="3" s="1"/>
  <c r="H53" i="3"/>
  <c r="J53" i="3" s="1"/>
  <c r="H51" i="3"/>
  <c r="J51" i="3" s="1"/>
  <c r="H49" i="3"/>
  <c r="J49" i="3" s="1"/>
  <c r="H47" i="3"/>
  <c r="J47" i="3" s="1"/>
  <c r="H64" i="3"/>
  <c r="J64" i="3" s="1"/>
  <c r="H67" i="3"/>
  <c r="J67" i="3" s="1"/>
  <c r="H14" i="3"/>
  <c r="H16" i="3"/>
  <c r="J16" i="3" s="1"/>
  <c r="H20" i="3"/>
  <c r="J20" i="3" s="1"/>
  <c r="F67" i="3"/>
  <c r="T81" i="2"/>
  <c r="P81" i="2"/>
  <c r="P80" i="2"/>
  <c r="H24" i="2"/>
  <c r="J24" i="2" s="1"/>
  <c r="H28" i="2"/>
  <c r="J28" i="2" s="1"/>
  <c r="H32" i="2"/>
  <c r="J32" i="2" s="1"/>
  <c r="H36" i="2"/>
  <c r="J36" i="2" s="1"/>
  <c r="H40" i="2"/>
  <c r="J40" i="2" s="1"/>
  <c r="H44" i="2"/>
  <c r="J44" i="2" s="1"/>
  <c r="H49" i="2"/>
  <c r="J49" i="2" s="1"/>
  <c r="H53" i="2"/>
  <c r="J53" i="2" s="1"/>
  <c r="H58" i="2"/>
  <c r="J58" i="2" s="1"/>
  <c r="H62" i="2"/>
  <c r="J62" i="2" s="1"/>
  <c r="H18" i="2"/>
  <c r="J18" i="2" s="1"/>
  <c r="H22" i="2"/>
  <c r="J22" i="2" s="1"/>
  <c r="H26" i="2"/>
  <c r="J26" i="2" s="1"/>
  <c r="H30" i="2"/>
  <c r="J30" i="2" s="1"/>
  <c r="H34" i="2"/>
  <c r="J34" i="2" s="1"/>
  <c r="H38" i="2"/>
  <c r="J38" i="2" s="1"/>
  <c r="H42" i="2"/>
  <c r="J42" i="2" s="1"/>
  <c r="H47" i="2"/>
  <c r="J47" i="2" s="1"/>
  <c r="H51" i="2"/>
  <c r="J51" i="2" s="1"/>
  <c r="H55" i="2"/>
  <c r="J55" i="2" s="1"/>
  <c r="H60" i="2"/>
  <c r="J60" i="2" s="1"/>
  <c r="AJ82" i="2"/>
  <c r="BP82" i="2"/>
  <c r="H14" i="2"/>
  <c r="H16" i="2"/>
  <c r="J16" i="2" s="1"/>
  <c r="H20" i="2"/>
  <c r="J20" i="2" s="1"/>
  <c r="X82" i="2"/>
  <c r="AN82" i="2"/>
  <c r="BD82" i="2"/>
  <c r="H67" i="2"/>
  <c r="J67" i="2" s="1"/>
  <c r="AZ82" i="2"/>
  <c r="F67" i="2"/>
  <c r="AR82" i="2"/>
  <c r="AN82" i="1"/>
  <c r="AJ82" i="1"/>
  <c r="AF82" i="1"/>
  <c r="AB82" i="1"/>
  <c r="X82" i="1"/>
  <c r="J14" i="3" l="1"/>
  <c r="J84" i="3" s="1"/>
  <c r="H76" i="3"/>
  <c r="J14" i="2"/>
  <c r="J84" i="2" s="1"/>
  <c r="H76" i="2"/>
  <c r="BS78" i="1"/>
  <c r="BM78" i="1"/>
  <c r="BN78" i="1"/>
  <c r="BO78" i="1"/>
  <c r="BP78" i="1"/>
  <c r="BQ78" i="1"/>
  <c r="BR78" i="1"/>
  <c r="BT78" i="1"/>
  <c r="BU78" i="1"/>
  <c r="BM79" i="1"/>
  <c r="BN79" i="1"/>
  <c r="BO79" i="1"/>
  <c r="BP79" i="1"/>
  <c r="BQ79" i="1"/>
  <c r="BR79" i="1"/>
  <c r="BS79" i="1"/>
  <c r="BT79" i="1"/>
  <c r="BU79" i="1"/>
  <c r="BL79" i="1"/>
  <c r="BL78" i="1"/>
  <c r="F64" i="1"/>
  <c r="CA79" i="1" l="1"/>
  <c r="BZ79" i="1"/>
  <c r="BY79" i="1"/>
  <c r="BX79" i="1"/>
  <c r="BW79" i="1"/>
  <c r="BV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CA78" i="1"/>
  <c r="BZ78" i="1"/>
  <c r="BY78" i="1"/>
  <c r="BX78" i="1"/>
  <c r="BW78" i="1"/>
  <c r="BV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Q78" i="1"/>
  <c r="R78" i="1"/>
  <c r="S78" i="1"/>
  <c r="Q79" i="1"/>
  <c r="R79" i="1"/>
  <c r="S79" i="1"/>
  <c r="P79" i="1"/>
  <c r="P78" i="1"/>
  <c r="AB80" i="1" l="1"/>
  <c r="AR80" i="1"/>
  <c r="BH80" i="1"/>
  <c r="BX80" i="1"/>
  <c r="AF81" i="1"/>
  <c r="AV81" i="1"/>
  <c r="BL81" i="1"/>
  <c r="X80" i="1"/>
  <c r="AJ80" i="1"/>
  <c r="AZ80" i="1"/>
  <c r="BT80" i="1"/>
  <c r="T81" i="1"/>
  <c r="AJ81" i="1"/>
  <c r="T80" i="1"/>
  <c r="AF80" i="1"/>
  <c r="AN80" i="1"/>
  <c r="AV80" i="1"/>
  <c r="BD80" i="1"/>
  <c r="BL80" i="1"/>
  <c r="BP80" i="1"/>
  <c r="X81" i="1"/>
  <c r="AB81" i="1"/>
  <c r="AN81" i="1"/>
  <c r="AR81" i="1"/>
  <c r="AZ81" i="1"/>
  <c r="BD81" i="1"/>
  <c r="BH81" i="1"/>
  <c r="BP81" i="1"/>
  <c r="BT81" i="1"/>
  <c r="BX81" i="1"/>
  <c r="P80" i="1" l="1"/>
  <c r="P81" i="1"/>
  <c r="G14" i="1" l="1"/>
  <c r="G44" i="1"/>
  <c r="G20" i="1"/>
  <c r="G22" i="1"/>
  <c r="G42" i="1"/>
  <c r="G24" i="1"/>
  <c r="G18" i="1"/>
  <c r="G16" i="1"/>
  <c r="G60" i="1"/>
  <c r="G67" i="1"/>
  <c r="G62" i="1"/>
  <c r="G58" i="1"/>
  <c r="G53" i="1"/>
  <c r="G47" i="1"/>
  <c r="G49" i="1"/>
  <c r="G51" i="1"/>
  <c r="G55" i="1"/>
  <c r="G26" i="1"/>
  <c r="G32" i="1"/>
  <c r="G28" i="1"/>
  <c r="G40" i="1"/>
  <c r="G38" i="1"/>
  <c r="G36" i="1"/>
  <c r="G34" i="1"/>
  <c r="G30" i="1"/>
  <c r="F28" i="1" l="1"/>
  <c r="F58" i="1"/>
  <c r="F22" i="1"/>
  <c r="F38" i="1"/>
  <c r="F47" i="1"/>
  <c r="F24" i="1"/>
  <c r="F44" i="1"/>
  <c r="F34" i="1"/>
  <c r="F51" i="1"/>
  <c r="F16" i="1"/>
  <c r="F36" i="1"/>
  <c r="F32" i="1"/>
  <c r="F49" i="1"/>
  <c r="F62" i="1"/>
  <c r="F20" i="1"/>
  <c r="F26" i="1"/>
  <c r="F30" i="1"/>
  <c r="F40" i="1"/>
  <c r="F55" i="1"/>
  <c r="F53" i="1"/>
  <c r="F60" i="1"/>
  <c r="F42" i="1"/>
  <c r="F14" i="1"/>
  <c r="F67" i="1"/>
  <c r="F18" i="1"/>
  <c r="H38" i="1" l="1"/>
  <c r="J38" i="1" s="1"/>
  <c r="H64" i="1"/>
  <c r="J64" i="1" s="1"/>
  <c r="H49" i="1"/>
  <c r="J49" i="1" s="1"/>
  <c r="H14" i="1"/>
  <c r="J14" i="1" s="1"/>
  <c r="H20" i="1"/>
  <c r="J20" i="1" s="1"/>
  <c r="H44" i="1"/>
  <c r="J44" i="1" s="1"/>
  <c r="H58" i="1"/>
  <c r="J58" i="1" s="1"/>
  <c r="H60" i="1"/>
  <c r="J60" i="1" s="1"/>
  <c r="H47" i="1"/>
  <c r="J47" i="1" s="1"/>
  <c r="H30" i="1"/>
  <c r="J30" i="1" s="1"/>
  <c r="H51" i="1"/>
  <c r="J51" i="1" s="1"/>
  <c r="H55" i="1"/>
  <c r="J55" i="1" s="1"/>
  <c r="H36" i="1"/>
  <c r="J36" i="1" s="1"/>
  <c r="H18" i="1"/>
  <c r="J18" i="1" s="1"/>
  <c r="H42" i="1"/>
  <c r="J42" i="1" s="1"/>
  <c r="H53" i="1"/>
  <c r="J53" i="1" s="1"/>
  <c r="H40" i="1"/>
  <c r="J40" i="1" s="1"/>
  <c r="H67" i="1"/>
  <c r="J67" i="1" s="1"/>
  <c r="H22" i="1"/>
  <c r="J22" i="1" s="1"/>
  <c r="H28" i="1"/>
  <c r="J28" i="1" s="1"/>
  <c r="H26" i="1"/>
  <c r="J26" i="1" s="1"/>
  <c r="H62" i="1"/>
  <c r="J62" i="1" s="1"/>
  <c r="H32" i="1"/>
  <c r="J32" i="1" s="1"/>
  <c r="H16" i="1"/>
  <c r="J16" i="1" s="1"/>
  <c r="H34" i="1"/>
  <c r="J34" i="1" s="1"/>
  <c r="H24" i="1"/>
  <c r="J24" i="1" s="1"/>
  <c r="H76" i="1" l="1"/>
  <c r="J84" i="1"/>
</calcChain>
</file>

<file path=xl/sharedStrings.xml><?xml version="1.0" encoding="utf-8"?>
<sst xmlns="http://schemas.openxmlformats.org/spreadsheetml/2006/main" count="792" uniqueCount="133">
  <si>
    <t>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</si>
  <si>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</si>
  <si>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</si>
  <si>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</si>
  <si>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</si>
  <si>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</si>
  <si>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</si>
  <si>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</si>
  <si>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</si>
  <si>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</si>
  <si>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</si>
  <si>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</si>
  <si>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</si>
  <si>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2.1</t>
  </si>
  <si>
    <t>Благоустройство территории</t>
  </si>
  <si>
    <t xml:space="preserve">№ пп </t>
  </si>
  <si>
    <t>1.2</t>
  </si>
  <si>
    <t>1.3</t>
  </si>
  <si>
    <t>Ввод объекта в эксплуатацию</t>
  </si>
  <si>
    <t>3.1</t>
  </si>
  <si>
    <t>Сдача объекта</t>
  </si>
  <si>
    <t>Ответственное лицо</t>
  </si>
  <si>
    <t>ПЛАНОВЫЙ
Срок выполнения работ</t>
  </si>
  <si>
    <t>начало</t>
  </si>
  <si>
    <t>ФАКТИЧЕСКИЙ
Срок выполнения работ</t>
  </si>
  <si>
    <t>Генподрядчик</t>
  </si>
  <si>
    <t>План</t>
  </si>
  <si>
    <t>Факт</t>
  </si>
  <si>
    <t>2023 год</t>
  </si>
  <si>
    <t>Численность, Финансирование</t>
  </si>
  <si>
    <t>Численность рабочих (средняя в день) ФАКТИЧЕСКАЯ</t>
  </si>
  <si>
    <t>Наружные инженерные сети</t>
  </si>
  <si>
    <t>Сети теплоснабжения</t>
  </si>
  <si>
    <t>Сети водоснабжения</t>
  </si>
  <si>
    <t>Сети бытовой канализации</t>
  </si>
  <si>
    <t>Наружное освещение</t>
  </si>
  <si>
    <t>Формирование пакета документов для ввода объекта в эксплуатацию</t>
  </si>
  <si>
    <t>Вертикальная планировка ЗУ, замещение просадочного грунта</t>
  </si>
  <si>
    <t>3.2</t>
  </si>
  <si>
    <t>СОГЛАСОВАНО</t>
  </si>
  <si>
    <t>М.П.                               "____" ____________ 2022 г.</t>
  </si>
  <si>
    <t>УТВЕРЖДАЮ</t>
  </si>
  <si>
    <t>М.П.                  "____" ____________ 2022 г.</t>
  </si>
  <si>
    <t>Примечание</t>
  </si>
  <si>
    <t>Срок</t>
  </si>
  <si>
    <t>Ед.изм.</t>
  </si>
  <si>
    <t>Кол-во/объем по проекту</t>
  </si>
  <si>
    <t>Удельный вес, % *</t>
  </si>
  <si>
    <t>Строительная готовность, %</t>
  </si>
  <si>
    <t>Текущий удельный вес</t>
  </si>
  <si>
    <t>Цена за ед., тыс руб.</t>
  </si>
  <si>
    <t xml:space="preserve">Стоимость по договору, тыс. руб. </t>
  </si>
  <si>
    <t>СМР</t>
  </si>
  <si>
    <t>Численность рабочих (месячная) ПЛАНОВАЯ</t>
  </si>
  <si>
    <t>Численность рабочих (месячная) ФАКТИЧЕСКАЯ</t>
  </si>
  <si>
    <t xml:space="preserve">Численность рабочих (средняя в день) ПЛАНОВАЯ </t>
  </si>
  <si>
    <t xml:space="preserve">Выполнение плановое </t>
  </si>
  <si>
    <t>Выполнение фактическое (принято по КС-2)</t>
  </si>
  <si>
    <t xml:space="preserve">Строительная готовность объекта </t>
  </si>
  <si>
    <t>чел.</t>
  </si>
  <si>
    <t>руб.</t>
  </si>
  <si>
    <t>%</t>
  </si>
  <si>
    <t>Устройство МАФов</t>
  </si>
  <si>
    <t>Монтаж внутренних слаботочных сетей</t>
  </si>
  <si>
    <t>Монтаж внутренних сетей электроснабжения и электроосвещения</t>
  </si>
  <si>
    <t>Монтаж внутренних инженерных сетей канализации К1, К2</t>
  </si>
  <si>
    <t>Монтаж лифтов</t>
  </si>
  <si>
    <t xml:space="preserve">Фонд защиты прав </t>
  </si>
  <si>
    <t xml:space="preserve">граждан-участников долевого строительства </t>
  </si>
  <si>
    <t>Ханты-Мансийского автономного округа – Югры</t>
  </si>
  <si>
    <t>Исполнительный директор</t>
  </si>
  <si>
    <t>_______________________ / М.А. Павлов</t>
  </si>
  <si>
    <t xml:space="preserve">_______________________ / </t>
  </si>
  <si>
    <t>* - при условии подачи тепла ресурсной организацией</t>
  </si>
  <si>
    <t>1</t>
  </si>
  <si>
    <t>1.1.1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</si>
  <si>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</si>
  <si>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</si>
  <si>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</si>
  <si>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</si>
  <si>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</si>
  <si>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</si>
  <si>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</si>
  <si>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</si>
  <si>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</si>
  <si>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</si>
  <si>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</si>
  <si>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</si>
  <si>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</si>
  <si>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</si>
  <si>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</si>
  <si>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</si>
  <si>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2.2.</t>
  </si>
  <si>
    <t>3.3</t>
  </si>
  <si>
    <t>3.4</t>
  </si>
  <si>
    <t>3.5</t>
  </si>
  <si>
    <t>3.6</t>
  </si>
  <si>
    <t>3.7</t>
  </si>
  <si>
    <t>1.1.13</t>
  </si>
  <si>
    <t>1.1.14</t>
  </si>
  <si>
    <t>1.1.15</t>
  </si>
  <si>
    <t>1.1.16</t>
  </si>
  <si>
    <t>Монтаж пожарной сигнализации и оповещения</t>
  </si>
  <si>
    <t>Сети связи</t>
  </si>
  <si>
    <t>График о выполнении работ</t>
  </si>
  <si>
    <t>1.1.2</t>
  </si>
  <si>
    <t>1.1.3</t>
  </si>
  <si>
    <t>1.1.4</t>
  </si>
  <si>
    <t>Подготовительные работы, в том числе монтаж подкрановых путей для башенного крана</t>
  </si>
  <si>
    <t>Монтаж внутренних инженерных сетей водоснабжения ХВС и ГВС + автоматизация</t>
  </si>
  <si>
    <t>Монтаж внутренних сетей вентиляции, том числе автоматизация</t>
  </si>
  <si>
    <t>Монтаж внутренних инженерных сетей отопления и ИТП, в том числе тепломеханические решения и автоматизация тепломеханических решений теплового пункта</t>
  </si>
  <si>
    <t>Устройство автомобильных дорог, проездов, тротуаров, в том числе организация дорожного движения, озеленение и восстановление зеленых насаждений в г. Нефтеюганске</t>
  </si>
  <si>
    <t>Устройство крылец, пандусов, приямков, лестниц, шахт лифта, выходов, террасы</t>
  </si>
  <si>
    <t>Монтаж оконных и дверных проемов, витражи</t>
  </si>
  <si>
    <t>Внутренние отделочные работы*, в том числе устройство полов</t>
  </si>
  <si>
    <t>Устройство кровли, козырьков входных груп, парапеты</t>
  </si>
  <si>
    <t>Фасадные работы, в том числе отделка цоколя, утепление тамбура, ограждения лоджий</t>
  </si>
  <si>
    <t>Кладка наружных,  внутренних стен и перегородок здания, в том числе стеновые панели наружние и внутренние</t>
  </si>
  <si>
    <t>комплекс</t>
  </si>
  <si>
    <t>1.</t>
  </si>
  <si>
    <t>Возведение железобетонных конструкций</t>
  </si>
  <si>
    <t>ЗОС</t>
  </si>
  <si>
    <t>РНВ</t>
  </si>
  <si>
    <t>Непредвиденные расходы 2%</t>
  </si>
  <si>
    <t>ИТОГО стоимость работ по договору СМР</t>
  </si>
  <si>
    <t>1.3.4</t>
  </si>
  <si>
    <t>Пуско-наладочные работы</t>
  </si>
  <si>
    <t>Графа 7 "Стоимость по договору" без НДС</t>
  </si>
  <si>
    <t>2.</t>
  </si>
  <si>
    <t xml:space="preserve">Строка 3.5. "Выполнение плановое" без НДС и учета непредвиденных затрат 2% </t>
  </si>
  <si>
    <t>окончание</t>
  </si>
  <si>
    <t>Многоэтажный жилой дом со встроенными торгово-офисными помещениями, расположенный по адресу: Тюменская область, ХМАО-Югра, г. Нефтеюганск. 16А микрорайон, дом 53 I очередь строительства, идентификатор объекта: р-11609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</si>
</sst>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sz val="12"/>
      <name val="Arial"/>
      <family val="2"/>
      <charset val="204"/>
    </font>
    <font>
      <sz val="10"/>
      <color theme="0"/>
      <name val="Times New Roman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77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Fill="1"/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8" fillId="0" borderId="0" xfId="2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5" fillId="3" borderId="0" xfId="0" applyFont="1" applyFill="1"/>
    <xf numFmtId="0" fontId="4" fillId="3" borderId="0" xfId="0" applyFont="1" applyFill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14" fontId="2" fillId="0" borderId="35" xfId="1" applyNumberFormat="1" applyFont="1" applyFill="1" applyBorder="1" applyAlignment="1">
      <alignment horizontal="center" vertical="center" wrapText="1"/>
    </xf>
    <xf numFmtId="14" fontId="2" fillId="3" borderId="35" xfId="1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2" borderId="2" xfId="0" applyFont="1" applyFill="1" applyBorder="1"/>
    <xf numFmtId="0" fontId="10" fillId="2" borderId="28" xfId="0" applyFont="1" applyFill="1" applyBorder="1"/>
    <xf numFmtId="0" fontId="10" fillId="2" borderId="29" xfId="0" applyFont="1" applyFill="1" applyBorder="1"/>
    <xf numFmtId="0" fontId="10" fillId="2" borderId="0" xfId="0" applyFont="1" applyFill="1" applyBorder="1"/>
    <xf numFmtId="0" fontId="10" fillId="2" borderId="31" xfId="0" applyFont="1" applyFill="1" applyBorder="1"/>
    <xf numFmtId="0" fontId="12" fillId="5" borderId="1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2" applyFont="1" applyAlignment="1">
      <alignment horizontal="left"/>
    </xf>
    <xf numFmtId="0" fontId="16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center" wrapText="1"/>
    </xf>
    <xf numFmtId="14" fontId="2" fillId="0" borderId="34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36" xfId="0" applyFont="1" applyBorder="1" applyAlignment="1">
      <alignment horizontal="center" vertical="center"/>
    </xf>
    <xf numFmtId="14" fontId="14" fillId="0" borderId="39" xfId="1" applyNumberFormat="1" applyFont="1" applyBorder="1" applyAlignment="1">
      <alignment horizontal="center" vertical="center" wrapText="1"/>
    </xf>
    <xf numFmtId="14" fontId="14" fillId="0" borderId="40" xfId="1" applyNumberFormat="1" applyFont="1" applyBorder="1" applyAlignment="1">
      <alignment horizontal="center" vertical="center" wrapText="1"/>
    </xf>
    <xf numFmtId="14" fontId="14" fillId="0" borderId="39" xfId="1" applyNumberFormat="1" applyFont="1" applyFill="1" applyBorder="1" applyAlignment="1">
      <alignment horizontal="center" vertical="center" wrapText="1"/>
    </xf>
    <xf numFmtId="14" fontId="14" fillId="0" borderId="40" xfId="1" applyNumberFormat="1" applyFont="1" applyFill="1" applyBorder="1" applyAlignment="1">
      <alignment horizontal="center" vertical="center" wrapText="1"/>
    </xf>
    <xf numFmtId="14" fontId="9" fillId="6" borderId="36" xfId="1" applyNumberFormat="1" applyFont="1" applyFill="1" applyBorder="1" applyAlignment="1">
      <alignment horizontal="center" vertical="center" wrapText="1"/>
    </xf>
    <xf numFmtId="14" fontId="14" fillId="3" borderId="39" xfId="1" applyNumberFormat="1" applyFont="1" applyFill="1" applyBorder="1" applyAlignment="1">
      <alignment horizontal="center" vertical="center" wrapText="1"/>
    </xf>
    <xf numFmtId="14" fontId="14" fillId="3" borderId="40" xfId="1" applyNumberFormat="1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wrapText="1"/>
    </xf>
    <xf numFmtId="0" fontId="12" fillId="0" borderId="11" xfId="0" applyFont="1" applyBorder="1" applyAlignment="1">
      <alignment horizontal="center"/>
    </xf>
    <xf numFmtId="49" fontId="10" fillId="2" borderId="31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164" fontId="12" fillId="2" borderId="31" xfId="0" applyNumberFormat="1" applyFont="1" applyFill="1" applyBorder="1" applyAlignment="1">
      <alignment wrapText="1"/>
    </xf>
    <xf numFmtId="0" fontId="12" fillId="2" borderId="31" xfId="0" applyFont="1" applyFill="1" applyBorder="1" applyAlignment="1">
      <alignment horizontal="center" wrapText="1"/>
    </xf>
    <xf numFmtId="0" fontId="17" fillId="0" borderId="0" xfId="1" applyFont="1"/>
    <xf numFmtId="0" fontId="18" fillId="0" borderId="0" xfId="0" applyFont="1"/>
    <xf numFmtId="0" fontId="9" fillId="0" borderId="2" xfId="1" applyFont="1" applyBorder="1" applyAlignment="1">
      <alignment horizontal="left" vertical="center" wrapText="1"/>
    </xf>
    <xf numFmtId="0" fontId="8" fillId="0" borderId="0" xfId="2" applyFont="1" applyAlignment="1">
      <alignment vertical="center"/>
    </xf>
    <xf numFmtId="14" fontId="14" fillId="3" borderId="45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14" fontId="12" fillId="2" borderId="11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14" fontId="9" fillId="6" borderId="11" xfId="0" applyNumberFormat="1" applyFont="1" applyFill="1" applyBorder="1" applyAlignment="1">
      <alignment horizontal="center" vertical="top" wrapText="1"/>
    </xf>
    <xf numFmtId="14" fontId="9" fillId="6" borderId="11" xfId="0" applyNumberFormat="1" applyFont="1" applyFill="1" applyBorder="1" applyAlignment="1">
      <alignment horizont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4" fillId="0" borderId="7" xfId="0" applyFont="1" applyFill="1" applyBorder="1"/>
    <xf numFmtId="0" fontId="14" fillId="0" borderId="14" xfId="0" applyFont="1" applyFill="1" applyBorder="1"/>
    <xf numFmtId="0" fontId="14" fillId="0" borderId="13" xfId="0" applyFont="1" applyFill="1" applyBorder="1"/>
    <xf numFmtId="0" fontId="14" fillId="0" borderId="32" xfId="0" applyFont="1" applyFill="1" applyBorder="1"/>
    <xf numFmtId="0" fontId="14" fillId="0" borderId="15" xfId="0" applyFont="1" applyFill="1" applyBorder="1"/>
    <xf numFmtId="0" fontId="14" fillId="0" borderId="8" xfId="0" applyFont="1" applyFill="1" applyBorder="1"/>
    <xf numFmtId="0" fontId="14" fillId="0" borderId="20" xfId="0" applyFont="1" applyFill="1" applyBorder="1"/>
    <xf numFmtId="0" fontId="14" fillId="0" borderId="18" xfId="0" applyFont="1" applyFill="1" applyBorder="1"/>
    <xf numFmtId="0" fontId="14" fillId="0" borderId="33" xfId="0" applyFont="1" applyFill="1" applyBorder="1"/>
    <xf numFmtId="0" fontId="14" fillId="0" borderId="13" xfId="0" applyFont="1" applyBorder="1"/>
    <xf numFmtId="0" fontId="14" fillId="0" borderId="32" xfId="0" applyFont="1" applyBorder="1"/>
    <xf numFmtId="0" fontId="14" fillId="0" borderId="26" xfId="0" applyFont="1" applyFill="1" applyBorder="1"/>
    <xf numFmtId="0" fontId="14" fillId="0" borderId="5" xfId="0" applyFont="1" applyFill="1" applyBorder="1"/>
    <xf numFmtId="0" fontId="14" fillId="0" borderId="16" xfId="0" applyFont="1" applyFill="1" applyBorder="1"/>
    <xf numFmtId="0" fontId="14" fillId="0" borderId="6" xfId="0" applyFont="1" applyFill="1" applyBorder="1"/>
    <xf numFmtId="49" fontId="14" fillId="7" borderId="11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top" wrapText="1"/>
    </xf>
    <xf numFmtId="0" fontId="9" fillId="6" borderId="21" xfId="0" applyFont="1" applyFill="1" applyBorder="1"/>
    <xf numFmtId="0" fontId="9" fillId="6" borderId="22" xfId="0" applyFont="1" applyFill="1" applyBorder="1"/>
    <xf numFmtId="0" fontId="9" fillId="6" borderId="24" xfId="0" applyFont="1" applyFill="1" applyBorder="1"/>
    <xf numFmtId="0" fontId="9" fillId="6" borderId="23" xfId="0" applyFont="1" applyFill="1" applyBorder="1"/>
    <xf numFmtId="0" fontId="9" fillId="6" borderId="11" xfId="0" applyFont="1" applyFill="1" applyBorder="1"/>
    <xf numFmtId="49" fontId="14" fillId="6" borderId="1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wrapText="1"/>
    </xf>
    <xf numFmtId="14" fontId="9" fillId="2" borderId="11" xfId="0" applyNumberFormat="1" applyFont="1" applyFill="1" applyBorder="1" applyAlignment="1">
      <alignment horizontal="center" wrapText="1"/>
    </xf>
    <xf numFmtId="0" fontId="9" fillId="2" borderId="36" xfId="0" applyFont="1" applyFill="1" applyBorder="1" applyAlignment="1">
      <alignment wrapText="1"/>
    </xf>
    <xf numFmtId="0" fontId="14" fillId="2" borderId="21" xfId="0" applyFont="1" applyFill="1" applyBorder="1"/>
    <xf numFmtId="0" fontId="14" fillId="2" borderId="22" xfId="0" applyFont="1" applyFill="1" applyBorder="1"/>
    <xf numFmtId="0" fontId="14" fillId="2" borderId="24" xfId="0" applyFont="1" applyFill="1" applyBorder="1"/>
    <xf numFmtId="0" fontId="14" fillId="2" borderId="23" xfId="0" applyFont="1" applyFill="1" applyBorder="1"/>
    <xf numFmtId="0" fontId="14" fillId="2" borderId="11" xfId="0" applyFont="1" applyFill="1" applyBorder="1"/>
    <xf numFmtId="0" fontId="14" fillId="3" borderId="32" xfId="0" applyFont="1" applyFill="1" applyBorder="1"/>
    <xf numFmtId="0" fontId="14" fillId="3" borderId="33" xfId="0" applyFont="1" applyFill="1" applyBorder="1"/>
    <xf numFmtId="0" fontId="14" fillId="3" borderId="5" xfId="0" applyFont="1" applyFill="1" applyBorder="1"/>
    <xf numFmtId="0" fontId="14" fillId="2" borderId="2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wrapText="1"/>
    </xf>
    <xf numFmtId="0" fontId="14" fillId="2" borderId="10" xfId="0" applyFont="1" applyFill="1" applyBorder="1"/>
    <xf numFmtId="164" fontId="14" fillId="2" borderId="10" xfId="0" applyNumberFormat="1" applyFont="1" applyFill="1" applyBorder="1"/>
    <xf numFmtId="0" fontId="14" fillId="2" borderId="10" xfId="0" applyFont="1" applyFill="1" applyBorder="1" applyAlignment="1">
      <alignment horizontal="center"/>
    </xf>
    <xf numFmtId="0" fontId="14" fillId="2" borderId="41" xfId="0" applyFont="1" applyFill="1" applyBorder="1"/>
    <xf numFmtId="0" fontId="14" fillId="2" borderId="6" xfId="0" applyFont="1" applyFill="1" applyBorder="1"/>
    <xf numFmtId="0" fontId="14" fillId="2" borderId="25" xfId="0" applyFont="1" applyFill="1" applyBorder="1"/>
    <xf numFmtId="0" fontId="14" fillId="2" borderId="17" xfId="0" applyFont="1" applyFill="1" applyBorder="1"/>
    <xf numFmtId="0" fontId="14" fillId="2" borderId="16" xfId="0" applyFont="1" applyFill="1" applyBorder="1"/>
    <xf numFmtId="49" fontId="14" fillId="3" borderId="3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/>
    <xf numFmtId="164" fontId="14" fillId="3" borderId="4" xfId="0" applyNumberFormat="1" applyFont="1" applyFill="1" applyBorder="1"/>
    <xf numFmtId="0" fontId="14" fillId="3" borderId="30" xfId="0" applyFont="1" applyFill="1" applyBorder="1"/>
    <xf numFmtId="0" fontId="14" fillId="3" borderId="1" xfId="0" applyFont="1" applyFill="1" applyBorder="1"/>
    <xf numFmtId="164" fontId="14" fillId="3" borderId="1" xfId="0" applyNumberFormat="1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27" xfId="0" applyFont="1" applyFill="1" applyBorder="1"/>
    <xf numFmtId="0" fontId="14" fillId="0" borderId="1" xfId="0" applyFont="1" applyBorder="1"/>
    <xf numFmtId="164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27" xfId="0" applyFont="1" applyBorder="1"/>
    <xf numFmtId="0" fontId="14" fillId="0" borderId="19" xfId="0" applyFont="1" applyFill="1" applyBorder="1"/>
    <xf numFmtId="49" fontId="14" fillId="0" borderId="15" xfId="0" applyNumberFormat="1" applyFont="1" applyBorder="1" applyAlignment="1">
      <alignment horizontal="center" vertical="center"/>
    </xf>
    <xf numFmtId="0" fontId="14" fillId="0" borderId="8" xfId="0" applyFont="1" applyBorder="1"/>
    <xf numFmtId="164" fontId="14" fillId="0" borderId="8" xfId="0" applyNumberFormat="1" applyFont="1" applyBorder="1"/>
    <xf numFmtId="0" fontId="14" fillId="0" borderId="8" xfId="0" applyFont="1" applyBorder="1" applyAlignment="1">
      <alignment horizontal="center"/>
    </xf>
    <xf numFmtId="0" fontId="14" fillId="0" borderId="20" xfId="0" applyFont="1" applyBorder="1"/>
    <xf numFmtId="0" fontId="14" fillId="0" borderId="33" xfId="0" applyFont="1" applyBorder="1"/>
    <xf numFmtId="0" fontId="14" fillId="0" borderId="6" xfId="1" applyFont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165" fontId="9" fillId="6" borderId="11" xfId="1" applyNumberFormat="1" applyFont="1" applyFill="1" applyBorder="1" applyAlignment="1">
      <alignment horizontal="right" vertical="center" wrapText="1"/>
    </xf>
    <xf numFmtId="165" fontId="9" fillId="2" borderId="11" xfId="0" applyNumberFormat="1" applyFont="1" applyFill="1" applyBorder="1" applyAlignment="1">
      <alignment horizontal="right" wrapText="1"/>
    </xf>
    <xf numFmtId="0" fontId="14" fillId="4" borderId="12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4" fontId="14" fillId="3" borderId="43" xfId="1" applyNumberFormat="1" applyFont="1" applyFill="1" applyBorder="1" applyAlignment="1">
      <alignment horizontal="center" vertical="center" wrapText="1"/>
    </xf>
    <xf numFmtId="0" fontId="14" fillId="0" borderId="25" xfId="0" applyFont="1" applyFill="1" applyBorder="1"/>
    <xf numFmtId="0" fontId="14" fillId="0" borderId="10" xfId="0" applyFont="1" applyFill="1" applyBorder="1"/>
    <xf numFmtId="0" fontId="14" fillId="0" borderId="41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3" borderId="6" xfId="0" applyFont="1" applyFill="1" applyBorder="1"/>
    <xf numFmtId="49" fontId="10" fillId="3" borderId="3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52" xfId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4" fontId="9" fillId="0" borderId="11" xfId="1" applyNumberFormat="1" applyFont="1" applyBorder="1" applyAlignment="1">
      <alignment horizontal="center" vertical="center" wrapText="1"/>
    </xf>
    <xf numFmtId="164" fontId="14" fillId="0" borderId="11" xfId="1" applyNumberFormat="1" applyFont="1" applyBorder="1" applyAlignment="1">
      <alignment horizontal="center" vertical="center" wrapText="1"/>
    </xf>
    <xf numFmtId="49" fontId="10" fillId="3" borderId="43" xfId="0" applyNumberFormat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2" fontId="19" fillId="0" borderId="11" xfId="1" applyNumberFormat="1" applyFont="1" applyBorder="1" applyAlignment="1">
      <alignment horizontal="center" vertical="center" wrapText="1"/>
    </xf>
    <xf numFmtId="164" fontId="14" fillId="0" borderId="6" xfId="1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20" fillId="0" borderId="12" xfId="0" applyFont="1" applyBorder="1"/>
    <xf numFmtId="0" fontId="20" fillId="0" borderId="7" xfId="0" applyFont="1" applyBorder="1"/>
    <xf numFmtId="0" fontId="20" fillId="0" borderId="14" xfId="0" applyFont="1" applyBorder="1"/>
    <xf numFmtId="0" fontId="20" fillId="0" borderId="13" xfId="0" applyFont="1" applyBorder="1"/>
    <xf numFmtId="0" fontId="20" fillId="0" borderId="32" xfId="0" applyFont="1" applyBorder="1"/>
    <xf numFmtId="0" fontId="21" fillId="0" borderId="0" xfId="0" applyFont="1"/>
    <xf numFmtId="0" fontId="20" fillId="0" borderId="15" xfId="0" applyFont="1" applyBorder="1"/>
    <xf numFmtId="0" fontId="20" fillId="0" borderId="8" xfId="0" applyFont="1" applyBorder="1"/>
    <xf numFmtId="0" fontId="20" fillId="0" borderId="20" xfId="0" applyFont="1" applyBorder="1"/>
    <xf numFmtId="0" fontId="20" fillId="0" borderId="18" xfId="0" applyFont="1" applyBorder="1"/>
    <xf numFmtId="0" fontId="20" fillId="0" borderId="33" xfId="0" applyFont="1" applyBorder="1"/>
    <xf numFmtId="0" fontId="5" fillId="0" borderId="0" xfId="0" applyFont="1" applyAlignment="1">
      <alignment horizontal="left" vertical="center"/>
    </xf>
    <xf numFmtId="0" fontId="14" fillId="0" borderId="6" xfId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6" xfId="1" applyFont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0" borderId="12" xfId="0" applyFont="1" applyBorder="1"/>
    <xf numFmtId="0" fontId="14" fillId="0" borderId="7" xfId="0" applyFont="1" applyBorder="1"/>
    <xf numFmtId="0" fontId="14" fillId="0" borderId="15" xfId="0" applyFont="1" applyBorder="1"/>
    <xf numFmtId="0" fontId="14" fillId="4" borderId="8" xfId="0" applyFont="1" applyFill="1" applyBorder="1"/>
    <xf numFmtId="0" fontId="14" fillId="0" borderId="14" xfId="0" applyFont="1" applyBorder="1"/>
    <xf numFmtId="4" fontId="4" fillId="0" borderId="0" xfId="0" applyNumberFormat="1" applyFont="1" applyFill="1"/>
    <xf numFmtId="14" fontId="9" fillId="6" borderId="11" xfId="0" applyNumberFormat="1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wrapText="1"/>
    </xf>
    <xf numFmtId="165" fontId="9" fillId="9" borderId="11" xfId="0" applyNumberFormat="1" applyFont="1" applyFill="1" applyBorder="1" applyAlignment="1">
      <alignment horizontal="right" wrapText="1"/>
    </xf>
    <xf numFmtId="14" fontId="9" fillId="9" borderId="11" xfId="0" applyNumberFormat="1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wrapText="1"/>
    </xf>
    <xf numFmtId="0" fontId="14" fillId="9" borderId="21" xfId="0" applyFont="1" applyFill="1" applyBorder="1"/>
    <xf numFmtId="0" fontId="14" fillId="9" borderId="22" xfId="0" applyFont="1" applyFill="1" applyBorder="1"/>
    <xf numFmtId="0" fontId="14" fillId="9" borderId="24" xfId="0" applyFont="1" applyFill="1" applyBorder="1"/>
    <xf numFmtId="0" fontId="14" fillId="9" borderId="22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9" borderId="23" xfId="0" applyFont="1" applyFill="1" applyBorder="1"/>
    <xf numFmtId="0" fontId="14" fillId="9" borderId="11" xfId="0" applyFont="1" applyFill="1" applyBorder="1"/>
    <xf numFmtId="0" fontId="14" fillId="9" borderId="25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wrapText="1"/>
    </xf>
    <xf numFmtId="0" fontId="14" fillId="9" borderId="10" xfId="0" applyFont="1" applyFill="1" applyBorder="1"/>
    <xf numFmtId="164" fontId="14" fillId="9" borderId="10" xfId="0" applyNumberFormat="1" applyFont="1" applyFill="1" applyBorder="1"/>
    <xf numFmtId="0" fontId="14" fillId="9" borderId="10" xfId="0" applyFont="1" applyFill="1" applyBorder="1" applyAlignment="1">
      <alignment horizontal="center"/>
    </xf>
    <xf numFmtId="0" fontId="14" fillId="9" borderId="41" xfId="0" applyFont="1" applyFill="1" applyBorder="1"/>
    <xf numFmtId="0" fontId="14" fillId="9" borderId="6" xfId="0" applyFont="1" applyFill="1" applyBorder="1"/>
    <xf numFmtId="0" fontId="14" fillId="9" borderId="25" xfId="0" applyFont="1" applyFill="1" applyBorder="1"/>
    <xf numFmtId="0" fontId="14" fillId="9" borderId="16" xfId="0" applyFont="1" applyFill="1" applyBorder="1"/>
    <xf numFmtId="49" fontId="10" fillId="9" borderId="31" xfId="0" applyNumberFormat="1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wrapText="1"/>
    </xf>
    <xf numFmtId="0" fontId="12" fillId="9" borderId="31" xfId="0" applyFont="1" applyFill="1" applyBorder="1" applyAlignment="1">
      <alignment wrapText="1"/>
    </xf>
    <xf numFmtId="164" fontId="12" fillId="9" borderId="31" xfId="0" applyNumberFormat="1" applyFont="1" applyFill="1" applyBorder="1" applyAlignment="1">
      <alignment wrapText="1"/>
    </xf>
    <xf numFmtId="14" fontId="12" fillId="9" borderId="11" xfId="0" applyNumberFormat="1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wrapText="1"/>
    </xf>
    <xf numFmtId="0" fontId="10" fillId="9" borderId="28" xfId="0" applyFont="1" applyFill="1" applyBorder="1"/>
    <xf numFmtId="0" fontId="10" fillId="9" borderId="2" xfId="0" applyFont="1" applyFill="1" applyBorder="1"/>
    <xf numFmtId="0" fontId="10" fillId="9" borderId="29" xfId="0" applyFont="1" applyFill="1" applyBorder="1"/>
    <xf numFmtId="0" fontId="10" fillId="9" borderId="0" xfId="0" applyFont="1" applyFill="1" applyBorder="1"/>
    <xf numFmtId="0" fontId="10" fillId="9" borderId="31" xfId="0" applyFont="1" applyFill="1" applyBorder="1"/>
    <xf numFmtId="0" fontId="5" fillId="0" borderId="0" xfId="0" applyFont="1" applyAlignment="1">
      <alignment horizontal="left" vertical="center"/>
    </xf>
    <xf numFmtId="14" fontId="14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4" fontId="14" fillId="0" borderId="5" xfId="1" applyNumberFormat="1" applyFont="1" applyBorder="1" applyAlignment="1">
      <alignment horizontal="center" vertical="center" wrapText="1"/>
    </xf>
    <xf numFmtId="4" fontId="14" fillId="0" borderId="6" xfId="1" applyNumberFormat="1" applyFont="1" applyBorder="1" applyAlignment="1">
      <alignment horizontal="center" vertical="center" wrapText="1"/>
    </xf>
    <xf numFmtId="10" fontId="14" fillId="0" borderId="5" xfId="1" applyNumberFormat="1" applyFont="1" applyBorder="1" applyAlignment="1">
      <alignment horizontal="center" vertical="center" wrapText="1"/>
    </xf>
    <xf numFmtId="10" fontId="14" fillId="0" borderId="6" xfId="1" applyNumberFormat="1" applyFont="1" applyBorder="1" applyAlignment="1">
      <alignment horizontal="center" vertical="center" wrapText="1"/>
    </xf>
    <xf numFmtId="9" fontId="14" fillId="0" borderId="5" xfId="1" applyNumberFormat="1" applyFont="1" applyBorder="1" applyAlignment="1">
      <alignment horizontal="center" vertical="center" wrapText="1"/>
    </xf>
    <xf numFmtId="9" fontId="14" fillId="0" borderId="6" xfId="1" applyNumberFormat="1" applyFont="1" applyBorder="1" applyAlignment="1">
      <alignment horizontal="center" vertical="center" wrapText="1"/>
    </xf>
    <xf numFmtId="49" fontId="14" fillId="3" borderId="31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4" fontId="14" fillId="3" borderId="5" xfId="0" applyNumberFormat="1" applyFont="1" applyFill="1" applyBorder="1" applyAlignment="1">
      <alignment horizontal="center" vertical="center"/>
    </xf>
    <xf numFmtId="14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/>
    </xf>
    <xf numFmtId="2" fontId="14" fillId="0" borderId="5" xfId="1" applyNumberFormat="1" applyFont="1" applyBorder="1" applyAlignment="1">
      <alignment horizontal="center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4" fontId="14" fillId="0" borderId="36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 wrapText="1"/>
    </xf>
    <xf numFmtId="14" fontId="2" fillId="0" borderId="6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4" fontId="2" fillId="0" borderId="9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4" fontId="2" fillId="0" borderId="7" xfId="1" applyNumberFormat="1" applyFont="1" applyFill="1" applyBorder="1" applyAlignment="1">
      <alignment horizontal="center" vertical="center" wrapText="1"/>
    </xf>
    <xf numFmtId="14" fontId="2" fillId="0" borderId="8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8" borderId="0" xfId="2" applyFont="1" applyFill="1" applyAlignment="1">
      <alignment horizontal="right"/>
    </xf>
    <xf numFmtId="0" fontId="12" fillId="5" borderId="36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9" fillId="5" borderId="23" xfId="1" applyFont="1" applyFill="1" applyBorder="1" applyAlignment="1">
      <alignment horizontal="center" vertical="center" wrapText="1"/>
    </xf>
    <xf numFmtId="0" fontId="9" fillId="5" borderId="37" xfId="1" applyFont="1" applyFill="1" applyBorder="1" applyAlignment="1">
      <alignment horizontal="center" vertical="center" wrapText="1"/>
    </xf>
    <xf numFmtId="0" fontId="9" fillId="5" borderId="36" xfId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10" fillId="3" borderId="4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8" fillId="3" borderId="0" xfId="2" applyFont="1" applyFill="1" applyAlignment="1">
      <alignment horizontal="right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64" fontId="11" fillId="5" borderId="5" xfId="1" applyNumberFormat="1" applyFont="1" applyFill="1" applyBorder="1" applyAlignment="1">
      <alignment horizontal="center" vertical="center" wrapText="1"/>
    </xf>
    <xf numFmtId="164" fontId="11" fillId="5" borderId="6" xfId="1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2" fillId="0" borderId="7" xfId="1" applyNumberFormat="1" applyFont="1" applyBorder="1" applyAlignment="1">
      <alignment horizontal="center" vertical="center" wrapText="1"/>
    </xf>
    <xf numFmtId="14" fontId="2" fillId="0" borderId="8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5" borderId="32" xfId="1" applyFont="1" applyFill="1" applyBorder="1" applyAlignment="1">
      <alignment horizontal="center" vertical="center" wrapText="1"/>
    </xf>
    <xf numFmtId="0" fontId="11" fillId="5" borderId="33" xfId="1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8" xfId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93"/>
  <sheetViews>
    <sheetView topLeftCell="J1" zoomScale="80" zoomScaleNormal="80" zoomScaleSheetLayoutView="50" zoomScalePageLayoutView="40" workbookViewId="0">
      <selection activeCell="AA19" sqref="AA19"/>
    </sheetView>
  </sheetViews>
  <sheetFormatPr defaultRowHeight="15" outlineLevelRow="1" x14ac:dyDescent="0.25"/>
  <cols>
    <col min="1" max="1" width="12.85546875" style="1" customWidth="1"/>
    <col min="2" max="2" width="54.5703125" style="1" customWidth="1"/>
    <col min="3" max="3" width="15.7109375" style="1" customWidth="1"/>
    <col min="4" max="4" width="10.140625" style="1" customWidth="1"/>
    <col min="5" max="6" width="15.7109375" style="1" customWidth="1"/>
    <col min="7" max="7" width="15.7109375" style="1" customWidth="1" collapsed="1"/>
    <col min="8" max="10" width="15.7109375" style="1" customWidth="1"/>
    <col min="11" max="11" width="16.42578125" style="1" customWidth="1" collapsed="1"/>
    <col min="12" max="12" width="14.28515625" style="39" customWidth="1"/>
    <col min="13" max="13" width="13.85546875" style="1" customWidth="1"/>
    <col min="14" max="14" width="14.7109375" style="1" customWidth="1"/>
    <col min="15" max="15" width="8.85546875" style="1" customWidth="1" collapsed="1"/>
    <col min="16" max="79" width="3" style="1" customWidth="1"/>
    <col min="80" max="81" width="21.5703125" style="1" customWidth="1"/>
    <col min="82" max="16384" width="9.140625" style="1"/>
  </cols>
  <sheetData>
    <row r="1" spans="1:102" ht="18.75" customHeight="1" x14ac:dyDescent="0.25">
      <c r="B1" s="8" t="s">
        <v>39</v>
      </c>
      <c r="P1" s="45"/>
      <c r="Q1" s="45"/>
      <c r="R1" s="45"/>
      <c r="AZ1" s="36"/>
      <c r="BA1" s="36"/>
      <c r="BB1" s="36"/>
      <c r="BC1" s="36"/>
      <c r="BD1" s="36"/>
      <c r="BE1" s="36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2" t="s">
        <v>41</v>
      </c>
      <c r="BZ1" s="36"/>
    </row>
    <row r="2" spans="1:102" ht="18.75" customHeight="1" x14ac:dyDescent="0.25">
      <c r="B2" s="8"/>
      <c r="P2" s="45"/>
      <c r="Q2" s="45"/>
      <c r="R2" s="45"/>
      <c r="AZ2" s="36"/>
      <c r="BA2" s="36"/>
      <c r="BB2" s="36"/>
      <c r="BC2" s="36"/>
      <c r="BD2" s="36"/>
      <c r="BE2" s="36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2" t="s">
        <v>67</v>
      </c>
      <c r="BZ2" s="36"/>
    </row>
    <row r="3" spans="1:102" ht="18.75" customHeight="1" x14ac:dyDescent="0.25">
      <c r="B3" s="8"/>
      <c r="AZ3" s="36"/>
      <c r="BA3" s="36"/>
      <c r="BB3" s="36"/>
      <c r="BC3" s="36"/>
      <c r="BD3" s="36"/>
      <c r="BE3" s="3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2" t="s">
        <v>68</v>
      </c>
      <c r="BZ3" s="36"/>
    </row>
    <row r="4" spans="1:102" ht="18.75" customHeight="1" x14ac:dyDescent="0.25">
      <c r="B4" s="8"/>
      <c r="AZ4" s="36"/>
      <c r="BA4" s="36"/>
      <c r="BB4" s="36"/>
      <c r="BC4" s="36"/>
      <c r="BD4" s="36"/>
      <c r="BE4" s="36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2" t="s">
        <v>69</v>
      </c>
      <c r="BZ4" s="36"/>
    </row>
    <row r="5" spans="1:102" ht="18.75" customHeight="1" x14ac:dyDescent="0.25">
      <c r="B5" s="8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Z5" s="36"/>
      <c r="BA5" s="36"/>
      <c r="BB5" s="36"/>
      <c r="BC5" s="36"/>
      <c r="BD5" s="36"/>
      <c r="BE5" s="36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2" t="s">
        <v>70</v>
      </c>
      <c r="BZ5" s="36"/>
    </row>
    <row r="6" spans="1:102" ht="18.75" customHeight="1" x14ac:dyDescent="0.25">
      <c r="B6" s="8"/>
      <c r="H6" s="366" t="s">
        <v>104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Z6" s="36"/>
      <c r="BA6" s="36"/>
      <c r="BB6" s="36"/>
      <c r="BC6" s="36"/>
      <c r="BD6" s="36"/>
      <c r="BE6" s="36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8"/>
      <c r="BZ6" s="36"/>
    </row>
    <row r="7" spans="1:102" ht="30.75" customHeight="1" x14ac:dyDescent="0.25">
      <c r="B7" s="8"/>
      <c r="C7" s="2"/>
      <c r="D7" s="2"/>
      <c r="E7" s="2"/>
      <c r="F7" s="2"/>
      <c r="G7" s="2"/>
      <c r="H7" s="325" t="s">
        <v>132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F7" s="36"/>
      <c r="CG7" s="36"/>
      <c r="CH7" s="36"/>
      <c r="CI7" s="36"/>
      <c r="CJ7" s="36"/>
      <c r="CK7" s="36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8"/>
      <c r="CX7" s="36"/>
    </row>
    <row r="8" spans="1:102" ht="18.75" customHeight="1" x14ac:dyDescent="0.25">
      <c r="A8" s="3"/>
      <c r="B8" s="9" t="s">
        <v>72</v>
      </c>
      <c r="C8" s="2"/>
      <c r="D8" s="2"/>
      <c r="E8" s="2"/>
      <c r="F8" s="2"/>
      <c r="G8" s="2"/>
      <c r="H8" s="2"/>
      <c r="I8" s="2"/>
      <c r="J8" s="2"/>
      <c r="K8" s="2"/>
      <c r="L8" s="40"/>
      <c r="M8" s="2"/>
      <c r="N8" s="2"/>
      <c r="O8" s="2"/>
      <c r="AZ8" s="36"/>
      <c r="BA8" s="36"/>
      <c r="BB8" s="36"/>
      <c r="BC8" s="36"/>
      <c r="BD8" s="36"/>
      <c r="BE8" s="36"/>
      <c r="BF8" s="11"/>
      <c r="BG8" s="11"/>
      <c r="BH8" s="11"/>
      <c r="BI8" s="11"/>
      <c r="BJ8" s="11"/>
      <c r="BK8" s="11"/>
      <c r="BL8" s="11"/>
      <c r="BM8" s="11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2" t="s">
        <v>71</v>
      </c>
      <c r="BZ8" s="10"/>
      <c r="CA8" s="10"/>
      <c r="CB8" s="4"/>
      <c r="CC8" s="4"/>
      <c r="CD8" s="4"/>
      <c r="CF8" s="5"/>
      <c r="CG8" s="5"/>
    </row>
    <row r="9" spans="1:102" ht="18.75" customHeight="1" thickBot="1" x14ac:dyDescent="0.3">
      <c r="A9" s="7"/>
      <c r="B9" s="9" t="s">
        <v>40</v>
      </c>
      <c r="C9" s="7"/>
      <c r="D9" s="7"/>
      <c r="E9" s="7"/>
      <c r="F9" s="7"/>
      <c r="G9" s="7"/>
      <c r="H9" s="7"/>
      <c r="I9" s="7"/>
      <c r="J9" s="7"/>
      <c r="K9" s="7"/>
      <c r="L9" s="4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37"/>
      <c r="BG9" s="37"/>
      <c r="BH9" s="37"/>
      <c r="BI9" s="37"/>
      <c r="BJ9" s="37"/>
      <c r="BK9" s="37"/>
      <c r="BL9" s="37"/>
      <c r="BM9" s="37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12" t="s">
        <v>42</v>
      </c>
      <c r="BZ9" s="7"/>
      <c r="CA9" s="7"/>
      <c r="CB9" s="5"/>
      <c r="CC9" s="5"/>
    </row>
    <row r="10" spans="1:102" s="19" customFormat="1" ht="46.15" customHeight="1" thickBot="1" x14ac:dyDescent="0.3">
      <c r="A10" s="353" t="s">
        <v>15</v>
      </c>
      <c r="B10" s="353" t="s">
        <v>0</v>
      </c>
      <c r="C10" s="355" t="s">
        <v>21</v>
      </c>
      <c r="D10" s="333" t="s">
        <v>45</v>
      </c>
      <c r="E10" s="333" t="s">
        <v>46</v>
      </c>
      <c r="F10" s="333" t="s">
        <v>50</v>
      </c>
      <c r="G10" s="357" t="s">
        <v>51</v>
      </c>
      <c r="H10" s="333" t="s">
        <v>47</v>
      </c>
      <c r="I10" s="333" t="s">
        <v>48</v>
      </c>
      <c r="J10" s="333" t="s">
        <v>49</v>
      </c>
      <c r="K10" s="337" t="s">
        <v>22</v>
      </c>
      <c r="L10" s="338"/>
      <c r="M10" s="339" t="s">
        <v>24</v>
      </c>
      <c r="N10" s="338"/>
      <c r="O10" s="340"/>
      <c r="P10" s="335">
        <v>2022</v>
      </c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6"/>
      <c r="AF10" s="369" t="s">
        <v>28</v>
      </c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6"/>
      <c r="CB10" s="370" t="s">
        <v>43</v>
      </c>
      <c r="CC10" s="367" t="s">
        <v>44</v>
      </c>
      <c r="CD10" s="18"/>
    </row>
    <row r="11" spans="1:102" s="19" customFormat="1" ht="41.45" customHeight="1" thickBot="1" x14ac:dyDescent="0.3">
      <c r="A11" s="354"/>
      <c r="B11" s="354"/>
      <c r="C11" s="356"/>
      <c r="D11" s="334"/>
      <c r="E11" s="334"/>
      <c r="F11" s="334"/>
      <c r="G11" s="358"/>
      <c r="H11" s="334"/>
      <c r="I11" s="334"/>
      <c r="J11" s="334"/>
      <c r="K11" s="35" t="s">
        <v>23</v>
      </c>
      <c r="L11" s="35" t="s">
        <v>131</v>
      </c>
      <c r="M11" s="35" t="s">
        <v>23</v>
      </c>
      <c r="N11" s="35" t="s">
        <v>131</v>
      </c>
      <c r="O11" s="341"/>
      <c r="P11" s="327" t="s">
        <v>9</v>
      </c>
      <c r="Q11" s="328"/>
      <c r="R11" s="328"/>
      <c r="S11" s="329"/>
      <c r="T11" s="327" t="s">
        <v>10</v>
      </c>
      <c r="U11" s="328"/>
      <c r="V11" s="328"/>
      <c r="W11" s="329"/>
      <c r="X11" s="327" t="s">
        <v>11</v>
      </c>
      <c r="Y11" s="328"/>
      <c r="Z11" s="328"/>
      <c r="AA11" s="329"/>
      <c r="AB11" s="327" t="s">
        <v>12</v>
      </c>
      <c r="AC11" s="328"/>
      <c r="AD11" s="328"/>
      <c r="AE11" s="329"/>
      <c r="AF11" s="327" t="s">
        <v>1</v>
      </c>
      <c r="AG11" s="328"/>
      <c r="AH11" s="328"/>
      <c r="AI11" s="329"/>
      <c r="AJ11" s="327" t="s">
        <v>2</v>
      </c>
      <c r="AK11" s="328"/>
      <c r="AL11" s="328"/>
      <c r="AM11" s="329"/>
      <c r="AN11" s="327" t="s">
        <v>3</v>
      </c>
      <c r="AO11" s="328"/>
      <c r="AP11" s="328"/>
      <c r="AQ11" s="329"/>
      <c r="AR11" s="327" t="s">
        <v>4</v>
      </c>
      <c r="AS11" s="328"/>
      <c r="AT11" s="328"/>
      <c r="AU11" s="329"/>
      <c r="AV11" s="327" t="s">
        <v>5</v>
      </c>
      <c r="AW11" s="328"/>
      <c r="AX11" s="328"/>
      <c r="AY11" s="329"/>
      <c r="AZ11" s="327" t="s">
        <v>6</v>
      </c>
      <c r="BA11" s="328"/>
      <c r="BB11" s="328"/>
      <c r="BC11" s="329"/>
      <c r="BD11" s="327" t="s">
        <v>7</v>
      </c>
      <c r="BE11" s="328"/>
      <c r="BF11" s="328"/>
      <c r="BG11" s="329"/>
      <c r="BH11" s="327" t="s">
        <v>8</v>
      </c>
      <c r="BI11" s="328"/>
      <c r="BJ11" s="328"/>
      <c r="BK11" s="329"/>
      <c r="BL11" s="327" t="s">
        <v>9</v>
      </c>
      <c r="BM11" s="328"/>
      <c r="BN11" s="328"/>
      <c r="BO11" s="329"/>
      <c r="BP11" s="327" t="s">
        <v>10</v>
      </c>
      <c r="BQ11" s="328"/>
      <c r="BR11" s="328"/>
      <c r="BS11" s="329"/>
      <c r="BT11" s="327" t="s">
        <v>11</v>
      </c>
      <c r="BU11" s="328"/>
      <c r="BV11" s="328"/>
      <c r="BW11" s="329"/>
      <c r="BX11" s="327" t="s">
        <v>12</v>
      </c>
      <c r="BY11" s="328"/>
      <c r="BZ11" s="328"/>
      <c r="CA11" s="329"/>
      <c r="CB11" s="371"/>
      <c r="CC11" s="368"/>
    </row>
    <row r="12" spans="1:102" ht="15" customHeight="1" thickBot="1" x14ac:dyDescent="0.3">
      <c r="A12" s="55">
        <v>1</v>
      </c>
      <c r="B12" s="2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28">
        <v>11</v>
      </c>
      <c r="L12" s="28">
        <v>12</v>
      </c>
      <c r="M12" s="28">
        <v>13</v>
      </c>
      <c r="N12" s="28">
        <v>14</v>
      </c>
      <c r="O12" s="46">
        <v>15</v>
      </c>
      <c r="P12" s="330">
        <v>16</v>
      </c>
      <c r="Q12" s="331"/>
      <c r="R12" s="331"/>
      <c r="S12" s="332"/>
      <c r="T12" s="330">
        <v>17</v>
      </c>
      <c r="U12" s="331"/>
      <c r="V12" s="331"/>
      <c r="W12" s="332"/>
      <c r="X12" s="330">
        <v>18</v>
      </c>
      <c r="Y12" s="331"/>
      <c r="Z12" s="331"/>
      <c r="AA12" s="332"/>
      <c r="AB12" s="330">
        <v>19</v>
      </c>
      <c r="AC12" s="331"/>
      <c r="AD12" s="331"/>
      <c r="AE12" s="332"/>
      <c r="AF12" s="330">
        <v>20</v>
      </c>
      <c r="AG12" s="331"/>
      <c r="AH12" s="331"/>
      <c r="AI12" s="332"/>
      <c r="AJ12" s="330">
        <v>21</v>
      </c>
      <c r="AK12" s="331"/>
      <c r="AL12" s="331"/>
      <c r="AM12" s="332"/>
      <c r="AN12" s="330">
        <v>22</v>
      </c>
      <c r="AO12" s="331"/>
      <c r="AP12" s="331"/>
      <c r="AQ12" s="332"/>
      <c r="AR12" s="330">
        <v>23</v>
      </c>
      <c r="AS12" s="331"/>
      <c r="AT12" s="331"/>
      <c r="AU12" s="332"/>
      <c r="AV12" s="330">
        <v>24</v>
      </c>
      <c r="AW12" s="331"/>
      <c r="AX12" s="331"/>
      <c r="AY12" s="332"/>
      <c r="AZ12" s="330">
        <v>25</v>
      </c>
      <c r="BA12" s="331"/>
      <c r="BB12" s="331"/>
      <c r="BC12" s="332"/>
      <c r="BD12" s="330">
        <v>26</v>
      </c>
      <c r="BE12" s="331"/>
      <c r="BF12" s="331"/>
      <c r="BG12" s="332"/>
      <c r="BH12" s="330">
        <v>27</v>
      </c>
      <c r="BI12" s="331"/>
      <c r="BJ12" s="331"/>
      <c r="BK12" s="332"/>
      <c r="BL12" s="330">
        <v>28</v>
      </c>
      <c r="BM12" s="331"/>
      <c r="BN12" s="331"/>
      <c r="BO12" s="332"/>
      <c r="BP12" s="330">
        <v>29</v>
      </c>
      <c r="BQ12" s="331"/>
      <c r="BR12" s="331"/>
      <c r="BS12" s="332"/>
      <c r="BT12" s="330">
        <v>30</v>
      </c>
      <c r="BU12" s="331"/>
      <c r="BV12" s="331"/>
      <c r="BW12" s="332"/>
      <c r="BX12" s="330">
        <v>31</v>
      </c>
      <c r="BY12" s="331"/>
      <c r="BZ12" s="331"/>
      <c r="CA12" s="332"/>
      <c r="CB12" s="29">
        <v>32</v>
      </c>
      <c r="CC12" s="28">
        <v>33</v>
      </c>
    </row>
    <row r="13" spans="1:102" ht="15.75" thickBot="1" x14ac:dyDescent="0.3">
      <c r="A13" s="56" t="s">
        <v>74</v>
      </c>
      <c r="B13" s="61" t="s">
        <v>52</v>
      </c>
      <c r="C13" s="57"/>
      <c r="D13" s="57"/>
      <c r="E13" s="57"/>
      <c r="F13" s="57"/>
      <c r="G13" s="60"/>
      <c r="H13" s="57"/>
      <c r="I13" s="57"/>
      <c r="J13" s="57"/>
      <c r="K13" s="68">
        <v>44835</v>
      </c>
      <c r="L13" s="69">
        <v>45245</v>
      </c>
      <c r="M13" s="57"/>
      <c r="N13" s="57"/>
      <c r="O13" s="54"/>
      <c r="P13" s="31"/>
      <c r="Q13" s="30"/>
      <c r="R13" s="30"/>
      <c r="S13" s="32"/>
      <c r="T13" s="31"/>
      <c r="U13" s="30"/>
      <c r="V13" s="30"/>
      <c r="W13" s="32"/>
      <c r="X13" s="31"/>
      <c r="Y13" s="30"/>
      <c r="Z13" s="30"/>
      <c r="AA13" s="32"/>
      <c r="AB13" s="31"/>
      <c r="AC13" s="30"/>
      <c r="AD13" s="30"/>
      <c r="AE13" s="32"/>
      <c r="AF13" s="31"/>
      <c r="AG13" s="30"/>
      <c r="AH13" s="30"/>
      <c r="AI13" s="32"/>
      <c r="AJ13" s="31"/>
      <c r="AK13" s="30"/>
      <c r="AL13" s="30"/>
      <c r="AM13" s="32"/>
      <c r="AN13" s="31"/>
      <c r="AO13" s="30"/>
      <c r="AP13" s="30"/>
      <c r="AQ13" s="32"/>
      <c r="AR13" s="31"/>
      <c r="AS13" s="30"/>
      <c r="AT13" s="30"/>
      <c r="AU13" s="32"/>
      <c r="AV13" s="31"/>
      <c r="AW13" s="30"/>
      <c r="AX13" s="30"/>
      <c r="AY13" s="32"/>
      <c r="AZ13" s="31"/>
      <c r="BA13" s="30"/>
      <c r="BB13" s="30"/>
      <c r="BC13" s="32"/>
      <c r="BD13" s="31"/>
      <c r="BE13" s="30"/>
      <c r="BF13" s="30"/>
      <c r="BG13" s="32"/>
      <c r="BH13" s="31"/>
      <c r="BI13" s="30"/>
      <c r="BJ13" s="30"/>
      <c r="BK13" s="32"/>
      <c r="BL13" s="31"/>
      <c r="BM13" s="30"/>
      <c r="BN13" s="30"/>
      <c r="BO13" s="32"/>
      <c r="BP13" s="31"/>
      <c r="BQ13" s="30"/>
      <c r="BR13" s="30"/>
      <c r="BS13" s="32"/>
      <c r="BT13" s="31"/>
      <c r="BU13" s="30"/>
      <c r="BV13" s="30"/>
      <c r="BW13" s="32"/>
      <c r="BX13" s="31"/>
      <c r="BY13" s="30"/>
      <c r="BZ13" s="30"/>
      <c r="CA13" s="32"/>
      <c r="CB13" s="33"/>
      <c r="CC13" s="34"/>
    </row>
    <row r="14" spans="1:102" s="6" customFormat="1" x14ac:dyDescent="0.25">
      <c r="A14" s="274" t="s">
        <v>75</v>
      </c>
      <c r="B14" s="359" t="s">
        <v>108</v>
      </c>
      <c r="C14" s="278" t="s">
        <v>25</v>
      </c>
      <c r="D14" s="278" t="s">
        <v>119</v>
      </c>
      <c r="E14" s="278">
        <v>1</v>
      </c>
      <c r="F14" s="280">
        <f>G14</f>
        <v>19588.558860000005</v>
      </c>
      <c r="G14" s="280">
        <f>(18276169.01+326158.32+999569.53)/1000-13.338</f>
        <v>19588.558860000005</v>
      </c>
      <c r="H14" s="282">
        <f>G14/G76</f>
        <v>6.7813340457610616E-2</v>
      </c>
      <c r="I14" s="284">
        <v>0.02</v>
      </c>
      <c r="J14" s="301">
        <f>I14*H14</f>
        <v>1.3562668091522123E-3</v>
      </c>
      <c r="K14" s="319">
        <v>44835</v>
      </c>
      <c r="L14" s="323">
        <v>44926</v>
      </c>
      <c r="M14" s="270"/>
      <c r="N14" s="270"/>
      <c r="O14" s="47" t="s">
        <v>26</v>
      </c>
      <c r="P14" s="74"/>
      <c r="Q14" s="75"/>
      <c r="R14" s="75"/>
      <c r="S14" s="76"/>
      <c r="T14" s="146">
        <v>5</v>
      </c>
      <c r="U14" s="147">
        <v>5</v>
      </c>
      <c r="V14" s="147">
        <v>5</v>
      </c>
      <c r="W14" s="148">
        <v>7</v>
      </c>
      <c r="X14" s="146">
        <v>7</v>
      </c>
      <c r="Y14" s="147">
        <v>7</v>
      </c>
      <c r="Z14" s="147">
        <v>7</v>
      </c>
      <c r="AA14" s="148">
        <v>5</v>
      </c>
      <c r="AB14" s="146">
        <v>5</v>
      </c>
      <c r="AC14" s="147">
        <v>5</v>
      </c>
      <c r="AD14" s="147">
        <v>5</v>
      </c>
      <c r="AE14" s="148">
        <v>5</v>
      </c>
      <c r="AF14" s="149"/>
      <c r="AG14" s="150"/>
      <c r="AH14" s="150"/>
      <c r="AI14" s="151"/>
      <c r="AJ14" s="149"/>
      <c r="AK14" s="150"/>
      <c r="AL14" s="150"/>
      <c r="AM14" s="151"/>
      <c r="AN14" s="149"/>
      <c r="AO14" s="150"/>
      <c r="AP14" s="150"/>
      <c r="AQ14" s="151"/>
      <c r="AR14" s="149"/>
      <c r="AS14" s="150"/>
      <c r="AT14" s="150"/>
      <c r="AU14" s="151"/>
      <c r="AV14" s="149"/>
      <c r="AW14" s="150"/>
      <c r="AX14" s="150"/>
      <c r="AY14" s="151"/>
      <c r="AZ14" s="149"/>
      <c r="BA14" s="150"/>
      <c r="BB14" s="150"/>
      <c r="BC14" s="151"/>
      <c r="BD14" s="149"/>
      <c r="BE14" s="150"/>
      <c r="BF14" s="150"/>
      <c r="BG14" s="151"/>
      <c r="BH14" s="149"/>
      <c r="BI14" s="150"/>
      <c r="BJ14" s="150"/>
      <c r="BK14" s="151"/>
      <c r="BL14" s="149"/>
      <c r="BM14" s="150"/>
      <c r="BN14" s="75"/>
      <c r="BO14" s="76"/>
      <c r="BP14" s="74"/>
      <c r="BQ14" s="75"/>
      <c r="BR14" s="75"/>
      <c r="BS14" s="76"/>
      <c r="BT14" s="74"/>
      <c r="BU14" s="75"/>
      <c r="BV14" s="75"/>
      <c r="BW14" s="76"/>
      <c r="BX14" s="74"/>
      <c r="BY14" s="75"/>
      <c r="BZ14" s="75"/>
      <c r="CA14" s="76"/>
      <c r="CB14" s="77"/>
      <c r="CC14" s="78"/>
    </row>
    <row r="15" spans="1:102" s="6" customFormat="1" ht="15.75" thickBot="1" x14ac:dyDescent="0.3">
      <c r="A15" s="275"/>
      <c r="B15" s="360"/>
      <c r="C15" s="279"/>
      <c r="D15" s="279"/>
      <c r="E15" s="279"/>
      <c r="F15" s="281"/>
      <c r="G15" s="281"/>
      <c r="H15" s="283"/>
      <c r="I15" s="285"/>
      <c r="J15" s="302"/>
      <c r="K15" s="320"/>
      <c r="L15" s="324"/>
      <c r="M15" s="271"/>
      <c r="N15" s="271"/>
      <c r="O15" s="48" t="s">
        <v>27</v>
      </c>
      <c r="P15" s="79"/>
      <c r="Q15" s="80"/>
      <c r="R15" s="80"/>
      <c r="S15" s="81"/>
      <c r="T15" s="152"/>
      <c r="U15" s="153"/>
      <c r="V15" s="153"/>
      <c r="W15" s="154"/>
      <c r="X15" s="152"/>
      <c r="Y15" s="153"/>
      <c r="Z15" s="153"/>
      <c r="AA15" s="154"/>
      <c r="AB15" s="152"/>
      <c r="AC15" s="153"/>
      <c r="AD15" s="153"/>
      <c r="AE15" s="154"/>
      <c r="AF15" s="152"/>
      <c r="AG15" s="153"/>
      <c r="AH15" s="153"/>
      <c r="AI15" s="154"/>
      <c r="AJ15" s="152"/>
      <c r="AK15" s="153"/>
      <c r="AL15" s="153"/>
      <c r="AM15" s="154"/>
      <c r="AN15" s="152"/>
      <c r="AO15" s="153"/>
      <c r="AP15" s="153"/>
      <c r="AQ15" s="154"/>
      <c r="AR15" s="152"/>
      <c r="AS15" s="153"/>
      <c r="AT15" s="153"/>
      <c r="AU15" s="154"/>
      <c r="AV15" s="152"/>
      <c r="AW15" s="153"/>
      <c r="AX15" s="153"/>
      <c r="AY15" s="154"/>
      <c r="AZ15" s="152"/>
      <c r="BA15" s="153"/>
      <c r="BB15" s="153"/>
      <c r="BC15" s="154"/>
      <c r="BD15" s="152"/>
      <c r="BE15" s="153"/>
      <c r="BF15" s="153"/>
      <c r="BG15" s="154"/>
      <c r="BH15" s="152"/>
      <c r="BI15" s="153"/>
      <c r="BJ15" s="153"/>
      <c r="BK15" s="154"/>
      <c r="BL15" s="152"/>
      <c r="BM15" s="153"/>
      <c r="BN15" s="153"/>
      <c r="BO15" s="154"/>
      <c r="BP15" s="152"/>
      <c r="BQ15" s="153"/>
      <c r="BR15" s="153"/>
      <c r="BS15" s="154"/>
      <c r="BT15" s="152"/>
      <c r="BU15" s="153"/>
      <c r="BV15" s="153"/>
      <c r="BW15" s="154"/>
      <c r="BX15" s="152"/>
      <c r="BY15" s="153"/>
      <c r="BZ15" s="153"/>
      <c r="CA15" s="154"/>
      <c r="CB15" s="82"/>
      <c r="CC15" s="83"/>
    </row>
    <row r="16" spans="1:102" s="6" customFormat="1" x14ac:dyDescent="0.25">
      <c r="A16" s="274" t="s">
        <v>105</v>
      </c>
      <c r="B16" s="276" t="s">
        <v>121</v>
      </c>
      <c r="C16" s="278" t="s">
        <v>25</v>
      </c>
      <c r="D16" s="278" t="s">
        <v>119</v>
      </c>
      <c r="E16" s="278">
        <v>1</v>
      </c>
      <c r="F16" s="280">
        <f>G16</f>
        <v>67837.626069755337</v>
      </c>
      <c r="G16" s="280">
        <f>(((8684981+429471+1777236+675876+33015+3552293+3506788+408303+27131368+5949319+7436648+5949319)*1.011)*1.004*1.0198)/1000</f>
        <v>67837.626069755337</v>
      </c>
      <c r="H16" s="282">
        <f>G16/G76</f>
        <v>0.23484606832911237</v>
      </c>
      <c r="I16" s="284">
        <v>0</v>
      </c>
      <c r="J16" s="301">
        <f t="shared" ref="J16" si="0">I16*H16</f>
        <v>0</v>
      </c>
      <c r="K16" s="319">
        <v>44927</v>
      </c>
      <c r="L16" s="315">
        <v>45138</v>
      </c>
      <c r="M16" s="270"/>
      <c r="N16" s="270"/>
      <c r="O16" s="47" t="s">
        <v>26</v>
      </c>
      <c r="P16" s="74"/>
      <c r="Q16" s="75"/>
      <c r="R16" s="75"/>
      <c r="S16" s="76"/>
      <c r="T16" s="149"/>
      <c r="U16" s="150"/>
      <c r="V16" s="150"/>
      <c r="W16" s="151"/>
      <c r="X16" s="149"/>
      <c r="Y16" s="150"/>
      <c r="Z16" s="150"/>
      <c r="AA16" s="151"/>
      <c r="AB16" s="149"/>
      <c r="AC16" s="150"/>
      <c r="AD16" s="150"/>
      <c r="AE16" s="151"/>
      <c r="AF16" s="146">
        <v>6</v>
      </c>
      <c r="AG16" s="147">
        <v>11</v>
      </c>
      <c r="AH16" s="147">
        <v>11</v>
      </c>
      <c r="AI16" s="148">
        <v>11</v>
      </c>
      <c r="AJ16" s="146">
        <v>12</v>
      </c>
      <c r="AK16" s="147">
        <v>12</v>
      </c>
      <c r="AL16" s="147">
        <v>12</v>
      </c>
      <c r="AM16" s="148">
        <v>12</v>
      </c>
      <c r="AN16" s="146">
        <v>15</v>
      </c>
      <c r="AO16" s="147">
        <v>15</v>
      </c>
      <c r="AP16" s="147">
        <v>15</v>
      </c>
      <c r="AQ16" s="148">
        <v>15</v>
      </c>
      <c r="AR16" s="146">
        <v>8</v>
      </c>
      <c r="AS16" s="147">
        <v>8</v>
      </c>
      <c r="AT16" s="147">
        <v>8</v>
      </c>
      <c r="AU16" s="148">
        <v>8</v>
      </c>
      <c r="AV16" s="146">
        <v>8</v>
      </c>
      <c r="AW16" s="147">
        <v>8</v>
      </c>
      <c r="AX16" s="147">
        <v>8</v>
      </c>
      <c r="AY16" s="148">
        <v>8</v>
      </c>
      <c r="AZ16" s="146">
        <v>8</v>
      </c>
      <c r="BA16" s="147">
        <v>8</v>
      </c>
      <c r="BB16" s="147">
        <v>8</v>
      </c>
      <c r="BC16" s="148">
        <v>8</v>
      </c>
      <c r="BD16" s="146">
        <v>8</v>
      </c>
      <c r="BE16" s="147">
        <v>8</v>
      </c>
      <c r="BF16" s="147">
        <v>8</v>
      </c>
      <c r="BG16" s="148">
        <v>8</v>
      </c>
      <c r="BH16" s="149"/>
      <c r="BI16" s="150"/>
      <c r="BJ16" s="150"/>
      <c r="BK16" s="151"/>
      <c r="BL16" s="149"/>
      <c r="BM16" s="150"/>
      <c r="BN16" s="150"/>
      <c r="BO16" s="151"/>
      <c r="BP16" s="149"/>
      <c r="BQ16" s="150"/>
      <c r="BR16" s="150"/>
      <c r="BS16" s="151"/>
      <c r="BT16" s="149"/>
      <c r="BU16" s="150"/>
      <c r="BV16" s="150"/>
      <c r="BW16" s="151"/>
      <c r="BX16" s="149"/>
      <c r="BY16" s="150"/>
      <c r="BZ16" s="150"/>
      <c r="CA16" s="151"/>
      <c r="CB16" s="77"/>
      <c r="CC16" s="78"/>
    </row>
    <row r="17" spans="1:81" s="6" customFormat="1" ht="15.75" thickBot="1" x14ac:dyDescent="0.3">
      <c r="A17" s="275"/>
      <c r="B17" s="277"/>
      <c r="C17" s="279"/>
      <c r="D17" s="279"/>
      <c r="E17" s="279"/>
      <c r="F17" s="281"/>
      <c r="G17" s="281"/>
      <c r="H17" s="283"/>
      <c r="I17" s="285"/>
      <c r="J17" s="302"/>
      <c r="K17" s="320"/>
      <c r="L17" s="316"/>
      <c r="M17" s="271"/>
      <c r="N17" s="271"/>
      <c r="O17" s="48" t="s">
        <v>27</v>
      </c>
      <c r="P17" s="79"/>
      <c r="Q17" s="80"/>
      <c r="R17" s="80"/>
      <c r="S17" s="81"/>
      <c r="T17" s="152"/>
      <c r="U17" s="153"/>
      <c r="V17" s="153"/>
      <c r="W17" s="154"/>
      <c r="X17" s="152"/>
      <c r="Y17" s="153"/>
      <c r="Z17" s="153"/>
      <c r="AA17" s="154"/>
      <c r="AB17" s="152"/>
      <c r="AC17" s="153"/>
      <c r="AD17" s="153"/>
      <c r="AE17" s="154"/>
      <c r="AF17" s="152"/>
      <c r="AG17" s="153"/>
      <c r="AH17" s="153"/>
      <c r="AI17" s="154"/>
      <c r="AJ17" s="152"/>
      <c r="AK17" s="153"/>
      <c r="AL17" s="153"/>
      <c r="AM17" s="154"/>
      <c r="AN17" s="152"/>
      <c r="AO17" s="153"/>
      <c r="AP17" s="153"/>
      <c r="AQ17" s="154"/>
      <c r="AR17" s="152"/>
      <c r="AS17" s="153"/>
      <c r="AT17" s="153"/>
      <c r="AU17" s="154"/>
      <c r="AV17" s="152"/>
      <c r="AW17" s="153"/>
      <c r="AX17" s="153"/>
      <c r="AY17" s="154"/>
      <c r="AZ17" s="152"/>
      <c r="BA17" s="153"/>
      <c r="BB17" s="153"/>
      <c r="BC17" s="154"/>
      <c r="BD17" s="152"/>
      <c r="BE17" s="153"/>
      <c r="BF17" s="153"/>
      <c r="BG17" s="154"/>
      <c r="BH17" s="152"/>
      <c r="BI17" s="153"/>
      <c r="BJ17" s="153"/>
      <c r="BK17" s="154"/>
      <c r="BL17" s="152"/>
      <c r="BM17" s="153"/>
      <c r="BN17" s="153"/>
      <c r="BO17" s="154"/>
      <c r="BP17" s="152"/>
      <c r="BQ17" s="153"/>
      <c r="BR17" s="153"/>
      <c r="BS17" s="154"/>
      <c r="BT17" s="152"/>
      <c r="BU17" s="153"/>
      <c r="BV17" s="153"/>
      <c r="BW17" s="154"/>
      <c r="BX17" s="152"/>
      <c r="BY17" s="153"/>
      <c r="BZ17" s="153"/>
      <c r="CA17" s="154"/>
      <c r="CB17" s="82"/>
      <c r="CC17" s="83"/>
    </row>
    <row r="18" spans="1:81" s="6" customFormat="1" x14ac:dyDescent="0.25">
      <c r="A18" s="274" t="s">
        <v>106</v>
      </c>
      <c r="B18" s="276" t="s">
        <v>118</v>
      </c>
      <c r="C18" s="278" t="s">
        <v>25</v>
      </c>
      <c r="D18" s="278" t="s">
        <v>119</v>
      </c>
      <c r="E18" s="278">
        <v>1</v>
      </c>
      <c r="F18" s="280">
        <f>G18</f>
        <v>9183.6316911406884</v>
      </c>
      <c r="G18" s="280">
        <f>(((4107263+4673053+91542)*1.011)*1.004*1.0198)/1000</f>
        <v>9183.6316911406884</v>
      </c>
      <c r="H18" s="282">
        <f>G18/G76</f>
        <v>3.1792677907527586E-2</v>
      </c>
      <c r="I18" s="284">
        <v>0</v>
      </c>
      <c r="J18" s="301">
        <f t="shared" ref="J18" si="1">I18*H18</f>
        <v>0</v>
      </c>
      <c r="K18" s="319">
        <v>45017</v>
      </c>
      <c r="L18" s="315">
        <v>45153</v>
      </c>
      <c r="M18" s="270"/>
      <c r="N18" s="270"/>
      <c r="O18" s="47" t="s">
        <v>26</v>
      </c>
      <c r="P18" s="74"/>
      <c r="Q18" s="75"/>
      <c r="R18" s="75"/>
      <c r="S18" s="76"/>
      <c r="T18" s="149"/>
      <c r="U18" s="150"/>
      <c r="V18" s="150"/>
      <c r="W18" s="151"/>
      <c r="X18" s="149"/>
      <c r="Y18" s="150"/>
      <c r="Z18" s="150"/>
      <c r="AA18" s="151"/>
      <c r="AB18" s="149"/>
      <c r="AC18" s="150"/>
      <c r="AD18" s="150"/>
      <c r="AE18" s="151"/>
      <c r="AF18" s="149"/>
      <c r="AG18" s="150"/>
      <c r="AH18" s="150"/>
      <c r="AI18" s="151"/>
      <c r="AJ18" s="149"/>
      <c r="AK18" s="150"/>
      <c r="AL18" s="150"/>
      <c r="AM18" s="151"/>
      <c r="AN18" s="149"/>
      <c r="AO18" s="150"/>
      <c r="AP18" s="150"/>
      <c r="AQ18" s="151"/>
      <c r="AR18" s="146">
        <v>4</v>
      </c>
      <c r="AS18" s="147">
        <v>4</v>
      </c>
      <c r="AT18" s="147">
        <v>4</v>
      </c>
      <c r="AU18" s="148">
        <v>4</v>
      </c>
      <c r="AV18" s="146">
        <v>4</v>
      </c>
      <c r="AW18" s="147">
        <v>4</v>
      </c>
      <c r="AX18" s="147">
        <v>4</v>
      </c>
      <c r="AY18" s="148">
        <v>4</v>
      </c>
      <c r="AZ18" s="146">
        <v>4</v>
      </c>
      <c r="BA18" s="147">
        <v>4</v>
      </c>
      <c r="BB18" s="147">
        <v>4</v>
      </c>
      <c r="BC18" s="148">
        <v>4</v>
      </c>
      <c r="BD18" s="146">
        <v>4</v>
      </c>
      <c r="BE18" s="147">
        <v>4</v>
      </c>
      <c r="BF18" s="147">
        <v>4</v>
      </c>
      <c r="BG18" s="148">
        <v>4</v>
      </c>
      <c r="BH18" s="146">
        <v>4</v>
      </c>
      <c r="BI18" s="147">
        <v>4</v>
      </c>
      <c r="BJ18" s="150"/>
      <c r="BK18" s="151"/>
      <c r="BL18" s="149"/>
      <c r="BM18" s="150"/>
      <c r="BN18" s="150"/>
      <c r="BO18" s="151"/>
      <c r="BP18" s="149"/>
      <c r="BQ18" s="150"/>
      <c r="BR18" s="150"/>
      <c r="BS18" s="151"/>
      <c r="BT18" s="149"/>
      <c r="BU18" s="150"/>
      <c r="BV18" s="150"/>
      <c r="BW18" s="151"/>
      <c r="BX18" s="149"/>
      <c r="BY18" s="150"/>
      <c r="BZ18" s="150"/>
      <c r="CA18" s="151"/>
      <c r="CB18" s="77"/>
      <c r="CC18" s="78"/>
    </row>
    <row r="19" spans="1:81" s="6" customFormat="1" ht="15.75" thickBot="1" x14ac:dyDescent="0.3">
      <c r="A19" s="275"/>
      <c r="B19" s="277"/>
      <c r="C19" s="279"/>
      <c r="D19" s="279"/>
      <c r="E19" s="279"/>
      <c r="F19" s="281"/>
      <c r="G19" s="281"/>
      <c r="H19" s="283"/>
      <c r="I19" s="285"/>
      <c r="J19" s="302"/>
      <c r="K19" s="320"/>
      <c r="L19" s="316"/>
      <c r="M19" s="271"/>
      <c r="N19" s="271"/>
      <c r="O19" s="48" t="s">
        <v>27</v>
      </c>
      <c r="P19" s="79"/>
      <c r="Q19" s="80"/>
      <c r="R19" s="80"/>
      <c r="S19" s="81"/>
      <c r="T19" s="79"/>
      <c r="U19" s="80"/>
      <c r="V19" s="80"/>
      <c r="W19" s="81"/>
      <c r="X19" s="79"/>
      <c r="Y19" s="153"/>
      <c r="Z19" s="153"/>
      <c r="AA19" s="154"/>
      <c r="AB19" s="152"/>
      <c r="AC19" s="153"/>
      <c r="AD19" s="153"/>
      <c r="AE19" s="154"/>
      <c r="AF19" s="152"/>
      <c r="AG19" s="153"/>
      <c r="AH19" s="153"/>
      <c r="AI19" s="154"/>
      <c r="AJ19" s="152"/>
      <c r="AK19" s="153"/>
      <c r="AL19" s="153"/>
      <c r="AM19" s="154"/>
      <c r="AN19" s="152"/>
      <c r="AO19" s="153"/>
      <c r="AP19" s="153"/>
      <c r="AQ19" s="154"/>
      <c r="AR19" s="152"/>
      <c r="AS19" s="153"/>
      <c r="AT19" s="153"/>
      <c r="AU19" s="154"/>
      <c r="AV19" s="152"/>
      <c r="AW19" s="153"/>
      <c r="AX19" s="153"/>
      <c r="AY19" s="154"/>
      <c r="AZ19" s="152"/>
      <c r="BA19" s="153"/>
      <c r="BB19" s="153"/>
      <c r="BC19" s="154"/>
      <c r="BD19" s="152"/>
      <c r="BE19" s="153"/>
      <c r="BF19" s="153"/>
      <c r="BG19" s="154"/>
      <c r="BH19" s="152"/>
      <c r="BI19" s="153"/>
      <c r="BJ19" s="153"/>
      <c r="BK19" s="154"/>
      <c r="BL19" s="152"/>
      <c r="BM19" s="153"/>
      <c r="BN19" s="153"/>
      <c r="BO19" s="154"/>
      <c r="BP19" s="152"/>
      <c r="BQ19" s="153"/>
      <c r="BR19" s="153"/>
      <c r="BS19" s="154"/>
      <c r="BT19" s="152"/>
      <c r="BU19" s="153"/>
      <c r="BV19" s="153"/>
      <c r="BW19" s="154"/>
      <c r="BX19" s="152"/>
      <c r="BY19" s="153"/>
      <c r="BZ19" s="153"/>
      <c r="CA19" s="154"/>
      <c r="CB19" s="82"/>
      <c r="CC19" s="83"/>
    </row>
    <row r="20" spans="1:81" ht="17.25" customHeight="1" x14ac:dyDescent="0.25">
      <c r="A20" s="274" t="s">
        <v>107</v>
      </c>
      <c r="B20" s="276" t="s">
        <v>117</v>
      </c>
      <c r="C20" s="278" t="s">
        <v>25</v>
      </c>
      <c r="D20" s="278" t="s">
        <v>119</v>
      </c>
      <c r="E20" s="278">
        <v>1</v>
      </c>
      <c r="F20" s="280">
        <f>G20</f>
        <v>18576.565963212404</v>
      </c>
      <c r="G20" s="280">
        <f>(((1329645+170471+581026+15864771)*1.011)*1.004*1.0198)/1000</f>
        <v>18576.565963212404</v>
      </c>
      <c r="H20" s="282">
        <f>G20/G76</f>
        <v>6.4309937305749493E-2</v>
      </c>
      <c r="I20" s="284">
        <v>0</v>
      </c>
      <c r="J20" s="301">
        <f t="shared" ref="J20" si="2">I20*H20</f>
        <v>0</v>
      </c>
      <c r="K20" s="319">
        <v>45047</v>
      </c>
      <c r="L20" s="323">
        <v>45245</v>
      </c>
      <c r="M20" s="270"/>
      <c r="N20" s="270"/>
      <c r="O20" s="47" t="s">
        <v>26</v>
      </c>
      <c r="P20" s="74"/>
      <c r="Q20" s="75"/>
      <c r="R20" s="75"/>
      <c r="S20" s="76"/>
      <c r="T20" s="74"/>
      <c r="U20" s="75"/>
      <c r="V20" s="75"/>
      <c r="W20" s="76"/>
      <c r="X20" s="74"/>
      <c r="Y20" s="150"/>
      <c r="Z20" s="150"/>
      <c r="AA20" s="151"/>
      <c r="AB20" s="149"/>
      <c r="AC20" s="150"/>
      <c r="AD20" s="150"/>
      <c r="AE20" s="151"/>
      <c r="AF20" s="149"/>
      <c r="AG20" s="150"/>
      <c r="AH20" s="150"/>
      <c r="AI20" s="151"/>
      <c r="AJ20" s="149"/>
      <c r="AK20" s="150"/>
      <c r="AL20" s="150"/>
      <c r="AM20" s="151"/>
      <c r="AN20" s="149"/>
      <c r="AO20" s="150"/>
      <c r="AP20" s="150"/>
      <c r="AQ20" s="151"/>
      <c r="AR20" s="149"/>
      <c r="AS20" s="150"/>
      <c r="AT20" s="150"/>
      <c r="AU20" s="151"/>
      <c r="AV20" s="146">
        <v>6</v>
      </c>
      <c r="AW20" s="147">
        <v>8</v>
      </c>
      <c r="AX20" s="147">
        <v>10</v>
      </c>
      <c r="AY20" s="148">
        <v>12</v>
      </c>
      <c r="AZ20" s="146">
        <v>14</v>
      </c>
      <c r="BA20" s="147">
        <v>16</v>
      </c>
      <c r="BB20" s="147">
        <v>18</v>
      </c>
      <c r="BC20" s="148">
        <v>18</v>
      </c>
      <c r="BD20" s="146">
        <v>18</v>
      </c>
      <c r="BE20" s="147">
        <v>18</v>
      </c>
      <c r="BF20" s="147">
        <v>18</v>
      </c>
      <c r="BG20" s="148">
        <v>18</v>
      </c>
      <c r="BH20" s="146">
        <v>18</v>
      </c>
      <c r="BI20" s="147">
        <v>18</v>
      </c>
      <c r="BJ20" s="147">
        <v>18</v>
      </c>
      <c r="BK20" s="148">
        <v>18</v>
      </c>
      <c r="BL20" s="146">
        <v>18</v>
      </c>
      <c r="BM20" s="147">
        <v>18</v>
      </c>
      <c r="BN20" s="147">
        <v>18</v>
      </c>
      <c r="BO20" s="148">
        <v>18</v>
      </c>
      <c r="BP20" s="146">
        <v>18</v>
      </c>
      <c r="BQ20" s="147">
        <v>18</v>
      </c>
      <c r="BR20" s="147">
        <v>18</v>
      </c>
      <c r="BS20" s="148">
        <v>18</v>
      </c>
      <c r="BT20" s="146">
        <v>18</v>
      </c>
      <c r="BU20" s="147">
        <v>18</v>
      </c>
      <c r="BV20" s="150"/>
      <c r="BW20" s="151"/>
      <c r="BX20" s="149"/>
      <c r="BY20" s="150"/>
      <c r="BZ20" s="150"/>
      <c r="CA20" s="151"/>
      <c r="CB20" s="84"/>
      <c r="CC20" s="85"/>
    </row>
    <row r="21" spans="1:81" s="6" customFormat="1" ht="15.75" thickBot="1" x14ac:dyDescent="0.3">
      <c r="A21" s="275"/>
      <c r="B21" s="277"/>
      <c r="C21" s="279"/>
      <c r="D21" s="279"/>
      <c r="E21" s="279"/>
      <c r="F21" s="281"/>
      <c r="G21" s="281"/>
      <c r="H21" s="283"/>
      <c r="I21" s="285"/>
      <c r="J21" s="302"/>
      <c r="K21" s="320"/>
      <c r="L21" s="324"/>
      <c r="M21" s="271"/>
      <c r="N21" s="271"/>
      <c r="O21" s="48" t="s">
        <v>27</v>
      </c>
      <c r="P21" s="79"/>
      <c r="Q21" s="80"/>
      <c r="R21" s="80"/>
      <c r="S21" s="81"/>
      <c r="T21" s="79"/>
      <c r="U21" s="80"/>
      <c r="V21" s="80"/>
      <c r="W21" s="81"/>
      <c r="X21" s="79"/>
      <c r="Y21" s="153"/>
      <c r="Z21" s="153"/>
      <c r="AA21" s="154"/>
      <c r="AB21" s="152"/>
      <c r="AC21" s="153"/>
      <c r="AD21" s="153"/>
      <c r="AE21" s="154"/>
      <c r="AF21" s="152"/>
      <c r="AG21" s="153"/>
      <c r="AH21" s="153"/>
      <c r="AI21" s="154"/>
      <c r="AJ21" s="152"/>
      <c r="AK21" s="153"/>
      <c r="AL21" s="153"/>
      <c r="AM21" s="154"/>
      <c r="AN21" s="152"/>
      <c r="AO21" s="153"/>
      <c r="AP21" s="153"/>
      <c r="AQ21" s="154"/>
      <c r="AR21" s="152"/>
      <c r="AS21" s="153"/>
      <c r="AT21" s="153"/>
      <c r="AU21" s="154"/>
      <c r="AV21" s="152"/>
      <c r="AW21" s="153"/>
      <c r="AX21" s="153"/>
      <c r="AY21" s="154"/>
      <c r="AZ21" s="152"/>
      <c r="BA21" s="153"/>
      <c r="BB21" s="153"/>
      <c r="BC21" s="154"/>
      <c r="BD21" s="152"/>
      <c r="BE21" s="153"/>
      <c r="BF21" s="153"/>
      <c r="BG21" s="154"/>
      <c r="BH21" s="152"/>
      <c r="BI21" s="153"/>
      <c r="BJ21" s="153"/>
      <c r="BK21" s="154"/>
      <c r="BL21" s="152"/>
      <c r="BM21" s="153"/>
      <c r="BN21" s="153"/>
      <c r="BO21" s="154"/>
      <c r="BP21" s="152"/>
      <c r="BQ21" s="153"/>
      <c r="BR21" s="153"/>
      <c r="BS21" s="154"/>
      <c r="BT21" s="152"/>
      <c r="BU21" s="153"/>
      <c r="BV21" s="153"/>
      <c r="BW21" s="154"/>
      <c r="BX21" s="152"/>
      <c r="BY21" s="153"/>
      <c r="BZ21" s="153"/>
      <c r="CA21" s="154"/>
      <c r="CB21" s="82"/>
      <c r="CC21" s="83"/>
    </row>
    <row r="22" spans="1:81" x14ac:dyDescent="0.25">
      <c r="A22" s="274" t="s">
        <v>76</v>
      </c>
      <c r="B22" s="276" t="s">
        <v>116</v>
      </c>
      <c r="C22" s="278" t="s">
        <v>25</v>
      </c>
      <c r="D22" s="278" t="s">
        <v>119</v>
      </c>
      <c r="E22" s="278">
        <v>1</v>
      </c>
      <c r="F22" s="280">
        <f>G22</f>
        <v>6841.7940059594384</v>
      </c>
      <c r="G22" s="280">
        <f>(((882252+608258+4293228+825785)*1.011)*1.004*1.0198)/1000</f>
        <v>6841.7940059594384</v>
      </c>
      <c r="H22" s="282">
        <f>G22/G76</f>
        <v>2.3685504869599524E-2</v>
      </c>
      <c r="I22" s="284">
        <v>0</v>
      </c>
      <c r="J22" s="301">
        <f t="shared" ref="J22" si="3">I22*H22</f>
        <v>0</v>
      </c>
      <c r="K22" s="319">
        <v>45153</v>
      </c>
      <c r="L22" s="344">
        <v>45184</v>
      </c>
      <c r="M22" s="270"/>
      <c r="N22" s="270"/>
      <c r="O22" s="47" t="s">
        <v>26</v>
      </c>
      <c r="P22" s="74"/>
      <c r="Q22" s="75"/>
      <c r="R22" s="75"/>
      <c r="S22" s="76"/>
      <c r="T22" s="74"/>
      <c r="U22" s="75"/>
      <c r="V22" s="75"/>
      <c r="W22" s="76"/>
      <c r="X22" s="74"/>
      <c r="Y22" s="150"/>
      <c r="Z22" s="150"/>
      <c r="AA22" s="151"/>
      <c r="AB22" s="149"/>
      <c r="AC22" s="150"/>
      <c r="AD22" s="150"/>
      <c r="AE22" s="151"/>
      <c r="AF22" s="149"/>
      <c r="AG22" s="150"/>
      <c r="AH22" s="150"/>
      <c r="AI22" s="151"/>
      <c r="AJ22" s="149"/>
      <c r="AK22" s="150"/>
      <c r="AL22" s="150"/>
      <c r="AM22" s="151"/>
      <c r="AN22" s="149"/>
      <c r="AO22" s="150"/>
      <c r="AP22" s="150"/>
      <c r="AQ22" s="151"/>
      <c r="AR22" s="149"/>
      <c r="AS22" s="150"/>
      <c r="AT22" s="150"/>
      <c r="AU22" s="151"/>
      <c r="AV22" s="149"/>
      <c r="AW22" s="150"/>
      <c r="AX22" s="150"/>
      <c r="AY22" s="151"/>
      <c r="AZ22" s="149"/>
      <c r="BA22" s="150"/>
      <c r="BB22" s="150"/>
      <c r="BC22" s="151"/>
      <c r="BD22" s="149"/>
      <c r="BE22" s="150"/>
      <c r="BF22" s="150"/>
      <c r="BG22" s="151"/>
      <c r="BH22" s="149"/>
      <c r="BI22" s="150"/>
      <c r="BJ22" s="147">
        <v>3</v>
      </c>
      <c r="BK22" s="148">
        <v>3</v>
      </c>
      <c r="BL22" s="146">
        <v>3</v>
      </c>
      <c r="BM22" s="147">
        <v>3</v>
      </c>
      <c r="BN22" s="158"/>
      <c r="BO22" s="159"/>
      <c r="BP22" s="160"/>
      <c r="BQ22" s="158"/>
      <c r="BR22" s="158"/>
      <c r="BS22" s="159"/>
      <c r="BT22" s="160"/>
      <c r="BU22" s="158"/>
      <c r="BV22" s="158"/>
      <c r="BW22" s="159"/>
      <c r="BX22" s="160"/>
      <c r="BY22" s="158"/>
      <c r="BZ22" s="158"/>
      <c r="CA22" s="159"/>
      <c r="CB22" s="84"/>
      <c r="CC22" s="85"/>
    </row>
    <row r="23" spans="1:81" s="6" customFormat="1" ht="15.75" thickBot="1" x14ac:dyDescent="0.3">
      <c r="A23" s="275"/>
      <c r="B23" s="277"/>
      <c r="C23" s="279"/>
      <c r="D23" s="279"/>
      <c r="E23" s="279"/>
      <c r="F23" s="281"/>
      <c r="G23" s="281"/>
      <c r="H23" s="283"/>
      <c r="I23" s="285"/>
      <c r="J23" s="302"/>
      <c r="K23" s="320"/>
      <c r="L23" s="345"/>
      <c r="M23" s="271"/>
      <c r="N23" s="271"/>
      <c r="O23" s="48" t="s">
        <v>27</v>
      </c>
      <c r="P23" s="79"/>
      <c r="Q23" s="80"/>
      <c r="R23" s="80"/>
      <c r="S23" s="81"/>
      <c r="T23" s="79"/>
      <c r="U23" s="80"/>
      <c r="V23" s="80"/>
      <c r="W23" s="81"/>
      <c r="X23" s="79"/>
      <c r="Y23" s="153"/>
      <c r="Z23" s="153"/>
      <c r="AA23" s="154"/>
      <c r="AB23" s="152"/>
      <c r="AC23" s="153"/>
      <c r="AD23" s="153"/>
      <c r="AE23" s="154"/>
      <c r="AF23" s="152"/>
      <c r="AG23" s="153"/>
      <c r="AH23" s="153"/>
      <c r="AI23" s="154"/>
      <c r="AJ23" s="152"/>
      <c r="AK23" s="153"/>
      <c r="AL23" s="153"/>
      <c r="AM23" s="154"/>
      <c r="AN23" s="152"/>
      <c r="AO23" s="153"/>
      <c r="AP23" s="153"/>
      <c r="AQ23" s="154"/>
      <c r="AR23" s="152"/>
      <c r="AS23" s="153"/>
      <c r="AT23" s="153"/>
      <c r="AU23" s="154"/>
      <c r="AV23" s="152"/>
      <c r="AW23" s="153"/>
      <c r="AX23" s="153"/>
      <c r="AY23" s="154"/>
      <c r="AZ23" s="152"/>
      <c r="BA23" s="153"/>
      <c r="BB23" s="153"/>
      <c r="BC23" s="154"/>
      <c r="BD23" s="152"/>
      <c r="BE23" s="153"/>
      <c r="BF23" s="153"/>
      <c r="BG23" s="154"/>
      <c r="BH23" s="152"/>
      <c r="BI23" s="153"/>
      <c r="BJ23" s="153"/>
      <c r="BK23" s="154"/>
      <c r="BL23" s="152"/>
      <c r="BM23" s="153"/>
      <c r="BN23" s="153"/>
      <c r="BO23" s="154"/>
      <c r="BP23" s="152"/>
      <c r="BQ23" s="153"/>
      <c r="BR23" s="153"/>
      <c r="BS23" s="154"/>
      <c r="BT23" s="152"/>
      <c r="BU23" s="153"/>
      <c r="BV23" s="153"/>
      <c r="BW23" s="154"/>
      <c r="BX23" s="152"/>
      <c r="BY23" s="153"/>
      <c r="BZ23" s="153"/>
      <c r="CA23" s="154"/>
      <c r="CB23" s="82"/>
      <c r="CC23" s="83"/>
    </row>
    <row r="24" spans="1:81" x14ac:dyDescent="0.25">
      <c r="A24" s="274" t="s">
        <v>77</v>
      </c>
      <c r="B24" s="317" t="s">
        <v>114</v>
      </c>
      <c r="C24" s="342" t="s">
        <v>25</v>
      </c>
      <c r="D24" s="278" t="s">
        <v>119</v>
      </c>
      <c r="E24" s="278">
        <v>1</v>
      </c>
      <c r="F24" s="280">
        <f>G24</f>
        <v>43410.913380639402</v>
      </c>
      <c r="G24" s="280">
        <f>(((16352239+6921826+18544560+118538)*1.011)*1.004*1.0198)/1000</f>
        <v>43410.913380639402</v>
      </c>
      <c r="H24" s="282">
        <f>G24/G76</f>
        <v>0.15028359511778516</v>
      </c>
      <c r="I24" s="284">
        <v>0</v>
      </c>
      <c r="J24" s="301">
        <f t="shared" ref="J24" si="4">I24*H24</f>
        <v>0</v>
      </c>
      <c r="K24" s="319">
        <v>45017</v>
      </c>
      <c r="L24" s="323">
        <v>45169</v>
      </c>
      <c r="M24" s="372"/>
      <c r="N24" s="372"/>
      <c r="O24" s="49" t="s">
        <v>26</v>
      </c>
      <c r="P24" s="74"/>
      <c r="Q24" s="75"/>
      <c r="R24" s="75"/>
      <c r="S24" s="76"/>
      <c r="T24" s="74"/>
      <c r="U24" s="75"/>
      <c r="V24" s="75"/>
      <c r="W24" s="76"/>
      <c r="X24" s="74"/>
      <c r="Y24" s="150"/>
      <c r="Z24" s="150"/>
      <c r="AA24" s="151"/>
      <c r="AB24" s="149"/>
      <c r="AC24" s="150"/>
      <c r="AD24" s="150"/>
      <c r="AE24" s="151"/>
      <c r="AF24" s="149"/>
      <c r="AG24" s="150"/>
      <c r="AH24" s="150"/>
      <c r="AI24" s="151"/>
      <c r="AJ24" s="149"/>
      <c r="AK24" s="150"/>
      <c r="AL24" s="150"/>
      <c r="AM24" s="151"/>
      <c r="AN24" s="149"/>
      <c r="AO24" s="150"/>
      <c r="AP24" s="150"/>
      <c r="AQ24" s="151"/>
      <c r="AR24" s="146">
        <v>4</v>
      </c>
      <c r="AS24" s="147">
        <v>4</v>
      </c>
      <c r="AT24" s="147">
        <v>4</v>
      </c>
      <c r="AU24" s="148">
        <v>4</v>
      </c>
      <c r="AV24" s="146">
        <v>6</v>
      </c>
      <c r="AW24" s="147">
        <v>6</v>
      </c>
      <c r="AX24" s="147">
        <v>6</v>
      </c>
      <c r="AY24" s="148">
        <v>6</v>
      </c>
      <c r="AZ24" s="146">
        <v>6</v>
      </c>
      <c r="BA24" s="147">
        <v>6</v>
      </c>
      <c r="BB24" s="147">
        <v>6</v>
      </c>
      <c r="BC24" s="148">
        <v>6</v>
      </c>
      <c r="BD24" s="146">
        <v>6</v>
      </c>
      <c r="BE24" s="147">
        <v>6</v>
      </c>
      <c r="BF24" s="147">
        <v>6</v>
      </c>
      <c r="BG24" s="148">
        <v>6</v>
      </c>
      <c r="BH24" s="146">
        <v>6</v>
      </c>
      <c r="BI24" s="147">
        <v>6</v>
      </c>
      <c r="BJ24" s="147">
        <v>6</v>
      </c>
      <c r="BK24" s="148">
        <v>6</v>
      </c>
      <c r="BL24" s="149"/>
      <c r="BM24" s="150"/>
      <c r="BN24" s="150"/>
      <c r="BO24" s="151"/>
      <c r="BP24" s="149"/>
      <c r="BQ24" s="150"/>
      <c r="BR24" s="150"/>
      <c r="BS24" s="151"/>
      <c r="BT24" s="149"/>
      <c r="BU24" s="150"/>
      <c r="BV24" s="150"/>
      <c r="BW24" s="151"/>
      <c r="BX24" s="149"/>
      <c r="BY24" s="150"/>
      <c r="BZ24" s="150"/>
      <c r="CA24" s="151"/>
      <c r="CB24" s="77"/>
      <c r="CC24" s="78"/>
    </row>
    <row r="25" spans="1:81" s="6" customFormat="1" ht="15.75" thickBot="1" x14ac:dyDescent="0.3">
      <c r="A25" s="275"/>
      <c r="B25" s="318"/>
      <c r="C25" s="343"/>
      <c r="D25" s="279"/>
      <c r="E25" s="279"/>
      <c r="F25" s="281"/>
      <c r="G25" s="281"/>
      <c r="H25" s="283"/>
      <c r="I25" s="285"/>
      <c r="J25" s="302"/>
      <c r="K25" s="320"/>
      <c r="L25" s="324"/>
      <c r="M25" s="373"/>
      <c r="N25" s="373"/>
      <c r="O25" s="50" t="s">
        <v>27</v>
      </c>
      <c r="P25" s="79"/>
      <c r="Q25" s="80"/>
      <c r="R25" s="80"/>
      <c r="S25" s="81"/>
      <c r="T25" s="79"/>
      <c r="U25" s="80"/>
      <c r="V25" s="80"/>
      <c r="W25" s="81"/>
      <c r="X25" s="79"/>
      <c r="Y25" s="153"/>
      <c r="Z25" s="153"/>
      <c r="AA25" s="154"/>
      <c r="AB25" s="152"/>
      <c r="AC25" s="153"/>
      <c r="AD25" s="153"/>
      <c r="AE25" s="154"/>
      <c r="AF25" s="152"/>
      <c r="AG25" s="153"/>
      <c r="AH25" s="153"/>
      <c r="AI25" s="154"/>
      <c r="AJ25" s="152"/>
      <c r="AK25" s="153"/>
      <c r="AL25" s="153"/>
      <c r="AM25" s="154"/>
      <c r="AN25" s="152"/>
      <c r="AO25" s="153"/>
      <c r="AP25" s="153"/>
      <c r="AQ25" s="154"/>
      <c r="AR25" s="152"/>
      <c r="AS25" s="153"/>
      <c r="AT25" s="153"/>
      <c r="AU25" s="154"/>
      <c r="AV25" s="152"/>
      <c r="AW25" s="153"/>
      <c r="AX25" s="153"/>
      <c r="AY25" s="154"/>
      <c r="AZ25" s="152"/>
      <c r="BA25" s="153"/>
      <c r="BB25" s="153"/>
      <c r="BC25" s="154"/>
      <c r="BD25" s="152"/>
      <c r="BE25" s="153"/>
      <c r="BF25" s="153"/>
      <c r="BG25" s="154"/>
      <c r="BH25" s="152"/>
      <c r="BI25" s="153"/>
      <c r="BJ25" s="153"/>
      <c r="BK25" s="154"/>
      <c r="BL25" s="152"/>
      <c r="BM25" s="153"/>
      <c r="BN25" s="153"/>
      <c r="BO25" s="154"/>
      <c r="BP25" s="152"/>
      <c r="BQ25" s="153"/>
      <c r="BR25" s="153"/>
      <c r="BS25" s="154"/>
      <c r="BT25" s="152"/>
      <c r="BU25" s="153"/>
      <c r="BV25" s="153"/>
      <c r="BW25" s="154"/>
      <c r="BX25" s="152"/>
      <c r="BY25" s="153"/>
      <c r="BZ25" s="153"/>
      <c r="CA25" s="154"/>
      <c r="CB25" s="82"/>
      <c r="CC25" s="83"/>
    </row>
    <row r="26" spans="1:81" s="6" customFormat="1" x14ac:dyDescent="0.25">
      <c r="A26" s="274" t="s">
        <v>78</v>
      </c>
      <c r="B26" s="276" t="s">
        <v>111</v>
      </c>
      <c r="C26" s="278" t="s">
        <v>25</v>
      </c>
      <c r="D26" s="278" t="s">
        <v>119</v>
      </c>
      <c r="E26" s="278">
        <v>1</v>
      </c>
      <c r="F26" s="280">
        <f>G26</f>
        <v>11124.754169999998</v>
      </c>
      <c r="G26" s="280">
        <f>(7706877.5+3144794.88+273081.79)/1000</f>
        <v>11124.754169999998</v>
      </c>
      <c r="H26" s="282">
        <f>G26/G76</f>
        <v>3.8512620934965151E-2</v>
      </c>
      <c r="I26" s="284">
        <v>0</v>
      </c>
      <c r="J26" s="301">
        <f t="shared" ref="J26" si="5">I26*H26</f>
        <v>0</v>
      </c>
      <c r="K26" s="319">
        <v>45017</v>
      </c>
      <c r="L26" s="364">
        <v>45199</v>
      </c>
      <c r="M26" s="270"/>
      <c r="N26" s="270"/>
      <c r="O26" s="47" t="s">
        <v>26</v>
      </c>
      <c r="P26" s="74"/>
      <c r="Q26" s="75"/>
      <c r="R26" s="75"/>
      <c r="S26" s="76"/>
      <c r="T26" s="74"/>
      <c r="U26" s="75"/>
      <c r="V26" s="75"/>
      <c r="W26" s="76"/>
      <c r="X26" s="74"/>
      <c r="Y26" s="150"/>
      <c r="Z26" s="150"/>
      <c r="AA26" s="151"/>
      <c r="AB26" s="149"/>
      <c r="AC26" s="150"/>
      <c r="AD26" s="150"/>
      <c r="AE26" s="151"/>
      <c r="AF26" s="149"/>
      <c r="AG26" s="150"/>
      <c r="AH26" s="150"/>
      <c r="AI26" s="151"/>
      <c r="AJ26" s="149"/>
      <c r="AK26" s="150"/>
      <c r="AL26" s="150"/>
      <c r="AM26" s="151"/>
      <c r="AN26" s="149"/>
      <c r="AO26" s="150"/>
      <c r="AP26" s="150"/>
      <c r="AQ26" s="151"/>
      <c r="AR26" s="146">
        <v>4</v>
      </c>
      <c r="AS26" s="147">
        <v>4</v>
      </c>
      <c r="AT26" s="147">
        <v>4</v>
      </c>
      <c r="AU26" s="148">
        <v>4</v>
      </c>
      <c r="AV26" s="146">
        <v>6</v>
      </c>
      <c r="AW26" s="147">
        <v>6</v>
      </c>
      <c r="AX26" s="147">
        <v>6</v>
      </c>
      <c r="AY26" s="148">
        <v>6</v>
      </c>
      <c r="AZ26" s="146">
        <v>6</v>
      </c>
      <c r="BA26" s="147">
        <v>6</v>
      </c>
      <c r="BB26" s="147">
        <v>6</v>
      </c>
      <c r="BC26" s="148">
        <v>6</v>
      </c>
      <c r="BD26" s="146">
        <v>6</v>
      </c>
      <c r="BE26" s="147">
        <v>6</v>
      </c>
      <c r="BF26" s="147">
        <v>6</v>
      </c>
      <c r="BG26" s="148">
        <v>6</v>
      </c>
      <c r="BH26" s="146">
        <v>6</v>
      </c>
      <c r="BI26" s="147">
        <v>6</v>
      </c>
      <c r="BJ26" s="147">
        <v>6</v>
      </c>
      <c r="BK26" s="148">
        <v>6</v>
      </c>
      <c r="BL26" s="146">
        <v>6</v>
      </c>
      <c r="BM26" s="147">
        <v>6</v>
      </c>
      <c r="BN26" s="147">
        <v>6</v>
      </c>
      <c r="BO26" s="148">
        <v>6</v>
      </c>
      <c r="BP26" s="149"/>
      <c r="BQ26" s="150"/>
      <c r="BR26" s="150"/>
      <c r="BS26" s="151"/>
      <c r="BT26" s="149"/>
      <c r="BU26" s="150"/>
      <c r="BV26" s="150"/>
      <c r="BW26" s="151"/>
      <c r="BX26" s="149"/>
      <c r="BY26" s="150"/>
      <c r="BZ26" s="150"/>
      <c r="CA26" s="151"/>
      <c r="CB26" s="86"/>
      <c r="CC26" s="87"/>
    </row>
    <row r="27" spans="1:81" s="6" customFormat="1" ht="27" customHeight="1" thickBot="1" x14ac:dyDescent="0.3">
      <c r="A27" s="275"/>
      <c r="B27" s="277"/>
      <c r="C27" s="279"/>
      <c r="D27" s="279"/>
      <c r="E27" s="279"/>
      <c r="F27" s="281"/>
      <c r="G27" s="281"/>
      <c r="H27" s="283"/>
      <c r="I27" s="285"/>
      <c r="J27" s="302"/>
      <c r="K27" s="320"/>
      <c r="L27" s="365"/>
      <c r="M27" s="271"/>
      <c r="N27" s="271"/>
      <c r="O27" s="48" t="s">
        <v>27</v>
      </c>
      <c r="P27" s="79"/>
      <c r="Q27" s="80"/>
      <c r="R27" s="80"/>
      <c r="S27" s="81"/>
      <c r="T27" s="79"/>
      <c r="U27" s="80"/>
      <c r="V27" s="80"/>
      <c r="W27" s="81"/>
      <c r="X27" s="79"/>
      <c r="Y27" s="153"/>
      <c r="Z27" s="153"/>
      <c r="AA27" s="154"/>
      <c r="AB27" s="152"/>
      <c r="AC27" s="153"/>
      <c r="AD27" s="153"/>
      <c r="AE27" s="154"/>
      <c r="AF27" s="152"/>
      <c r="AG27" s="153"/>
      <c r="AH27" s="153"/>
      <c r="AI27" s="154"/>
      <c r="AJ27" s="152"/>
      <c r="AK27" s="153"/>
      <c r="AL27" s="153"/>
      <c r="AM27" s="154"/>
      <c r="AN27" s="152"/>
      <c r="AO27" s="153"/>
      <c r="AP27" s="153"/>
      <c r="AQ27" s="154"/>
      <c r="AR27" s="152"/>
      <c r="AS27" s="153"/>
      <c r="AT27" s="153"/>
      <c r="AU27" s="154"/>
      <c r="AV27" s="152"/>
      <c r="AW27" s="153"/>
      <c r="AX27" s="153"/>
      <c r="AY27" s="154"/>
      <c r="AZ27" s="152"/>
      <c r="BA27" s="153"/>
      <c r="BB27" s="153"/>
      <c r="BC27" s="154"/>
      <c r="BD27" s="152"/>
      <c r="BE27" s="153"/>
      <c r="BF27" s="153"/>
      <c r="BG27" s="154"/>
      <c r="BH27" s="152"/>
      <c r="BI27" s="153"/>
      <c r="BJ27" s="153"/>
      <c r="BK27" s="154"/>
      <c r="BL27" s="152"/>
      <c r="BM27" s="153"/>
      <c r="BN27" s="153"/>
      <c r="BO27" s="154"/>
      <c r="BP27" s="152"/>
      <c r="BQ27" s="153"/>
      <c r="BR27" s="153"/>
      <c r="BS27" s="154"/>
      <c r="BT27" s="152"/>
      <c r="BU27" s="153"/>
      <c r="BV27" s="153"/>
      <c r="BW27" s="154"/>
      <c r="BX27" s="152"/>
      <c r="BY27" s="153"/>
      <c r="BZ27" s="153"/>
      <c r="CA27" s="154"/>
      <c r="CB27" s="88"/>
      <c r="CC27" s="89"/>
    </row>
    <row r="28" spans="1:81" s="6" customFormat="1" x14ac:dyDescent="0.25">
      <c r="A28" s="274" t="s">
        <v>79</v>
      </c>
      <c r="B28" s="276" t="s">
        <v>109</v>
      </c>
      <c r="C28" s="278" t="s">
        <v>25</v>
      </c>
      <c r="D28" s="278" t="s">
        <v>119</v>
      </c>
      <c r="E28" s="278">
        <v>1</v>
      </c>
      <c r="F28" s="280">
        <f>G28</f>
        <v>8781.4361800000006</v>
      </c>
      <c r="G28" s="280">
        <f>(8702505.04+78931.14)/1000</f>
        <v>8781.4361800000006</v>
      </c>
      <c r="H28" s="282">
        <f>G28/G76</f>
        <v>3.0400323251810652E-2</v>
      </c>
      <c r="I28" s="284">
        <v>0</v>
      </c>
      <c r="J28" s="301">
        <f t="shared" ref="J28" si="6">I28*H28</f>
        <v>0</v>
      </c>
      <c r="K28" s="319">
        <v>45047</v>
      </c>
      <c r="L28" s="364">
        <v>45169</v>
      </c>
      <c r="M28" s="270"/>
      <c r="N28" s="270"/>
      <c r="O28" s="47" t="s">
        <v>26</v>
      </c>
      <c r="P28" s="74"/>
      <c r="Q28" s="75"/>
      <c r="R28" s="75"/>
      <c r="S28" s="76"/>
      <c r="T28" s="74"/>
      <c r="U28" s="75"/>
      <c r="V28" s="75"/>
      <c r="W28" s="76"/>
      <c r="X28" s="74"/>
      <c r="Y28" s="150"/>
      <c r="Z28" s="150"/>
      <c r="AA28" s="151"/>
      <c r="AB28" s="149"/>
      <c r="AC28" s="150"/>
      <c r="AD28" s="150"/>
      <c r="AE28" s="151"/>
      <c r="AF28" s="149"/>
      <c r="AG28" s="150"/>
      <c r="AH28" s="150"/>
      <c r="AI28" s="151"/>
      <c r="AJ28" s="149"/>
      <c r="AK28" s="150"/>
      <c r="AL28" s="150"/>
      <c r="AM28" s="151"/>
      <c r="AN28" s="149"/>
      <c r="AO28" s="150"/>
      <c r="AP28" s="150"/>
      <c r="AQ28" s="151"/>
      <c r="AR28" s="149"/>
      <c r="AS28" s="150"/>
      <c r="AT28" s="150"/>
      <c r="AU28" s="151"/>
      <c r="AV28" s="146">
        <v>2</v>
      </c>
      <c r="AW28" s="147">
        <v>2</v>
      </c>
      <c r="AX28" s="147">
        <v>2</v>
      </c>
      <c r="AY28" s="148">
        <v>2</v>
      </c>
      <c r="AZ28" s="146">
        <v>4</v>
      </c>
      <c r="BA28" s="147">
        <v>4</v>
      </c>
      <c r="BB28" s="147">
        <v>4</v>
      </c>
      <c r="BC28" s="148">
        <v>4</v>
      </c>
      <c r="BD28" s="146">
        <v>4</v>
      </c>
      <c r="BE28" s="147">
        <v>4</v>
      </c>
      <c r="BF28" s="147">
        <v>4</v>
      </c>
      <c r="BG28" s="148">
        <v>4</v>
      </c>
      <c r="BH28" s="146">
        <v>4</v>
      </c>
      <c r="BI28" s="147">
        <v>4</v>
      </c>
      <c r="BJ28" s="147">
        <v>4</v>
      </c>
      <c r="BK28" s="148">
        <v>4</v>
      </c>
      <c r="BL28" s="149"/>
      <c r="BM28" s="150"/>
      <c r="BN28" s="150"/>
      <c r="BO28" s="151"/>
      <c r="BP28" s="149"/>
      <c r="BQ28" s="150"/>
      <c r="BR28" s="150"/>
      <c r="BS28" s="151"/>
      <c r="BT28" s="149"/>
      <c r="BU28" s="150"/>
      <c r="BV28" s="150"/>
      <c r="BW28" s="151"/>
      <c r="BX28" s="149"/>
      <c r="BY28" s="150"/>
      <c r="BZ28" s="150"/>
      <c r="CA28" s="151"/>
      <c r="CB28" s="86"/>
      <c r="CC28" s="87"/>
    </row>
    <row r="29" spans="1:81" s="6" customFormat="1" ht="15.75" thickBot="1" x14ac:dyDescent="0.3">
      <c r="A29" s="275"/>
      <c r="B29" s="277"/>
      <c r="C29" s="279"/>
      <c r="D29" s="279"/>
      <c r="E29" s="279"/>
      <c r="F29" s="281"/>
      <c r="G29" s="281"/>
      <c r="H29" s="283"/>
      <c r="I29" s="285"/>
      <c r="J29" s="302"/>
      <c r="K29" s="320"/>
      <c r="L29" s="365"/>
      <c r="M29" s="271"/>
      <c r="N29" s="271"/>
      <c r="O29" s="48" t="s">
        <v>27</v>
      </c>
      <c r="P29" s="79"/>
      <c r="Q29" s="80"/>
      <c r="R29" s="80"/>
      <c r="S29" s="81"/>
      <c r="T29" s="79"/>
      <c r="U29" s="80"/>
      <c r="V29" s="80"/>
      <c r="W29" s="81"/>
      <c r="X29" s="79"/>
      <c r="Y29" s="153"/>
      <c r="Z29" s="153"/>
      <c r="AA29" s="154"/>
      <c r="AB29" s="152"/>
      <c r="AC29" s="153"/>
      <c r="AD29" s="153"/>
      <c r="AE29" s="154"/>
      <c r="AF29" s="152"/>
      <c r="AG29" s="153"/>
      <c r="AH29" s="153"/>
      <c r="AI29" s="154"/>
      <c r="AJ29" s="152"/>
      <c r="AK29" s="153"/>
      <c r="AL29" s="153"/>
      <c r="AM29" s="154"/>
      <c r="AN29" s="152"/>
      <c r="AO29" s="153"/>
      <c r="AP29" s="153"/>
      <c r="AQ29" s="154"/>
      <c r="AR29" s="152"/>
      <c r="AS29" s="153"/>
      <c r="AT29" s="153"/>
      <c r="AU29" s="154"/>
      <c r="AV29" s="152"/>
      <c r="AW29" s="153"/>
      <c r="AX29" s="153"/>
      <c r="AY29" s="154"/>
      <c r="AZ29" s="152"/>
      <c r="BA29" s="153"/>
      <c r="BB29" s="153"/>
      <c r="BC29" s="154"/>
      <c r="BD29" s="152"/>
      <c r="BE29" s="153"/>
      <c r="BF29" s="153"/>
      <c r="BG29" s="154"/>
      <c r="BH29" s="152"/>
      <c r="BI29" s="153"/>
      <c r="BJ29" s="153"/>
      <c r="BK29" s="154"/>
      <c r="BL29" s="152"/>
      <c r="BM29" s="153"/>
      <c r="BN29" s="153"/>
      <c r="BO29" s="154"/>
      <c r="BP29" s="152"/>
      <c r="BQ29" s="153"/>
      <c r="BR29" s="153"/>
      <c r="BS29" s="154"/>
      <c r="BT29" s="152"/>
      <c r="BU29" s="153"/>
      <c r="BV29" s="153"/>
      <c r="BW29" s="154"/>
      <c r="BX29" s="152"/>
      <c r="BY29" s="153"/>
      <c r="BZ29" s="153"/>
      <c r="CA29" s="154"/>
      <c r="CB29" s="88"/>
      <c r="CC29" s="89"/>
    </row>
    <row r="30" spans="1:81" x14ac:dyDescent="0.25">
      <c r="A30" s="274" t="s">
        <v>80</v>
      </c>
      <c r="B30" s="276" t="s">
        <v>65</v>
      </c>
      <c r="C30" s="278" t="s">
        <v>25</v>
      </c>
      <c r="D30" s="278" t="s">
        <v>119</v>
      </c>
      <c r="E30" s="278">
        <v>1</v>
      </c>
      <c r="F30" s="280">
        <f>G30</f>
        <v>1537.4034299999998</v>
      </c>
      <c r="G30" s="280">
        <f>1537403.43/1000</f>
        <v>1537.4034299999998</v>
      </c>
      <c r="H30" s="282">
        <f>G30/G76</f>
        <v>5.3223140591613849E-3</v>
      </c>
      <c r="I30" s="284">
        <v>0</v>
      </c>
      <c r="J30" s="301">
        <f t="shared" ref="J30" si="7">I30*H30</f>
        <v>0</v>
      </c>
      <c r="K30" s="319">
        <v>45108</v>
      </c>
      <c r="L30" s="321">
        <v>45169</v>
      </c>
      <c r="M30" s="270"/>
      <c r="N30" s="270"/>
      <c r="O30" s="47" t="s">
        <v>26</v>
      </c>
      <c r="P30" s="74"/>
      <c r="Q30" s="75"/>
      <c r="R30" s="75"/>
      <c r="S30" s="76"/>
      <c r="T30" s="74"/>
      <c r="U30" s="75"/>
      <c r="V30" s="75"/>
      <c r="W30" s="76"/>
      <c r="X30" s="74"/>
      <c r="Y30" s="150"/>
      <c r="Z30" s="150"/>
      <c r="AA30" s="151"/>
      <c r="AB30" s="149"/>
      <c r="AC30" s="150"/>
      <c r="AD30" s="150"/>
      <c r="AE30" s="151"/>
      <c r="AF30" s="149"/>
      <c r="AG30" s="150"/>
      <c r="AH30" s="150"/>
      <c r="AI30" s="151"/>
      <c r="AJ30" s="149"/>
      <c r="AK30" s="150"/>
      <c r="AL30" s="150"/>
      <c r="AM30" s="151"/>
      <c r="AN30" s="149"/>
      <c r="AO30" s="150"/>
      <c r="AP30" s="150"/>
      <c r="AQ30" s="151"/>
      <c r="AR30" s="149"/>
      <c r="AS30" s="150"/>
      <c r="AT30" s="150"/>
      <c r="AU30" s="151"/>
      <c r="AV30" s="149"/>
      <c r="AW30" s="150"/>
      <c r="AX30" s="150"/>
      <c r="AY30" s="151"/>
      <c r="AZ30" s="149"/>
      <c r="BA30" s="150"/>
      <c r="BB30" s="150"/>
      <c r="BC30" s="151"/>
      <c r="BD30" s="146">
        <v>4</v>
      </c>
      <c r="BE30" s="147">
        <v>4</v>
      </c>
      <c r="BF30" s="147">
        <v>4</v>
      </c>
      <c r="BG30" s="148">
        <v>4</v>
      </c>
      <c r="BH30" s="146">
        <v>4</v>
      </c>
      <c r="BI30" s="147">
        <v>4</v>
      </c>
      <c r="BJ30" s="147">
        <v>4</v>
      </c>
      <c r="BK30" s="148">
        <v>4</v>
      </c>
      <c r="BL30" s="149"/>
      <c r="BM30" s="150"/>
      <c r="BN30" s="150"/>
      <c r="BO30" s="151"/>
      <c r="BP30" s="155"/>
      <c r="BQ30" s="156"/>
      <c r="BR30" s="156"/>
      <c r="BS30" s="157"/>
      <c r="BT30" s="155"/>
      <c r="BU30" s="156"/>
      <c r="BV30" s="156"/>
      <c r="BW30" s="157"/>
      <c r="BX30" s="155"/>
      <c r="BY30" s="156"/>
      <c r="BZ30" s="156"/>
      <c r="CA30" s="157"/>
      <c r="CB30" s="84"/>
      <c r="CC30" s="85"/>
    </row>
    <row r="31" spans="1:81" s="6" customFormat="1" ht="15.75" thickBot="1" x14ac:dyDescent="0.3">
      <c r="A31" s="275"/>
      <c r="B31" s="277"/>
      <c r="C31" s="279"/>
      <c r="D31" s="279"/>
      <c r="E31" s="279"/>
      <c r="F31" s="281"/>
      <c r="G31" s="281"/>
      <c r="H31" s="283"/>
      <c r="I31" s="285"/>
      <c r="J31" s="302"/>
      <c r="K31" s="320"/>
      <c r="L31" s="322"/>
      <c r="M31" s="271"/>
      <c r="N31" s="271"/>
      <c r="O31" s="48" t="s">
        <v>27</v>
      </c>
      <c r="P31" s="79"/>
      <c r="Q31" s="80"/>
      <c r="R31" s="80"/>
      <c r="S31" s="81"/>
      <c r="T31" s="79"/>
      <c r="U31" s="80"/>
      <c r="V31" s="80"/>
      <c r="W31" s="81"/>
      <c r="X31" s="79"/>
      <c r="Y31" s="153"/>
      <c r="Z31" s="153"/>
      <c r="AA31" s="154"/>
      <c r="AB31" s="152"/>
      <c r="AC31" s="153"/>
      <c r="AD31" s="153"/>
      <c r="AE31" s="154"/>
      <c r="AF31" s="152"/>
      <c r="AG31" s="153"/>
      <c r="AH31" s="153"/>
      <c r="AI31" s="154"/>
      <c r="AJ31" s="152"/>
      <c r="AK31" s="153"/>
      <c r="AL31" s="153"/>
      <c r="AM31" s="154"/>
      <c r="AN31" s="152"/>
      <c r="AO31" s="153"/>
      <c r="AP31" s="153"/>
      <c r="AQ31" s="154"/>
      <c r="AR31" s="152"/>
      <c r="AS31" s="153"/>
      <c r="AT31" s="153"/>
      <c r="AU31" s="154"/>
      <c r="AV31" s="152"/>
      <c r="AW31" s="153"/>
      <c r="AX31" s="153"/>
      <c r="AY31" s="154"/>
      <c r="AZ31" s="152"/>
      <c r="BA31" s="153"/>
      <c r="BB31" s="153"/>
      <c r="BC31" s="154"/>
      <c r="BD31" s="152"/>
      <c r="BE31" s="153"/>
      <c r="BF31" s="153"/>
      <c r="BG31" s="154"/>
      <c r="BH31" s="152"/>
      <c r="BI31" s="153"/>
      <c r="BJ31" s="153"/>
      <c r="BK31" s="154"/>
      <c r="BL31" s="152"/>
      <c r="BM31" s="153"/>
      <c r="BN31" s="153"/>
      <c r="BO31" s="154"/>
      <c r="BP31" s="152"/>
      <c r="BQ31" s="153"/>
      <c r="BR31" s="153"/>
      <c r="BS31" s="154"/>
      <c r="BT31" s="152"/>
      <c r="BU31" s="153"/>
      <c r="BV31" s="153"/>
      <c r="BW31" s="154"/>
      <c r="BX31" s="152"/>
      <c r="BY31" s="153"/>
      <c r="BZ31" s="153"/>
      <c r="CA31" s="154"/>
      <c r="CB31" s="82"/>
      <c r="CC31" s="83"/>
    </row>
    <row r="32" spans="1:81" x14ac:dyDescent="0.25">
      <c r="A32" s="274" t="s">
        <v>81</v>
      </c>
      <c r="B32" s="276" t="s">
        <v>110</v>
      </c>
      <c r="C32" s="278" t="s">
        <v>25</v>
      </c>
      <c r="D32" s="278" t="s">
        <v>119</v>
      </c>
      <c r="E32" s="278">
        <v>1</v>
      </c>
      <c r="F32" s="280">
        <f>G32</f>
        <v>17307.304110000001</v>
      </c>
      <c r="G32" s="280">
        <f>(15459208.65+1848095.46)/1000</f>
        <v>17307.304110000001</v>
      </c>
      <c r="H32" s="282">
        <f>G32/G76</f>
        <v>5.99158985815679E-2</v>
      </c>
      <c r="I32" s="284">
        <v>0</v>
      </c>
      <c r="J32" s="301">
        <f t="shared" ref="J32" si="8">I32*H32</f>
        <v>0</v>
      </c>
      <c r="K32" s="319">
        <v>45017</v>
      </c>
      <c r="L32" s="321">
        <v>45169</v>
      </c>
      <c r="M32" s="270"/>
      <c r="N32" s="270"/>
      <c r="O32" s="47" t="s">
        <v>26</v>
      </c>
      <c r="P32" s="74"/>
      <c r="Q32" s="75"/>
      <c r="R32" s="75"/>
      <c r="S32" s="76"/>
      <c r="T32" s="74"/>
      <c r="U32" s="75"/>
      <c r="V32" s="75"/>
      <c r="W32" s="76"/>
      <c r="X32" s="74"/>
      <c r="Y32" s="150"/>
      <c r="Z32" s="150"/>
      <c r="AA32" s="151"/>
      <c r="AB32" s="149"/>
      <c r="AC32" s="150"/>
      <c r="AD32" s="150"/>
      <c r="AE32" s="151"/>
      <c r="AF32" s="149"/>
      <c r="AG32" s="150"/>
      <c r="AH32" s="150"/>
      <c r="AI32" s="151"/>
      <c r="AJ32" s="149"/>
      <c r="AK32" s="150"/>
      <c r="AL32" s="150"/>
      <c r="AM32" s="151"/>
      <c r="AN32" s="149"/>
      <c r="AO32" s="150"/>
      <c r="AP32" s="150"/>
      <c r="AQ32" s="151"/>
      <c r="AR32" s="146">
        <v>4</v>
      </c>
      <c r="AS32" s="147">
        <v>4</v>
      </c>
      <c r="AT32" s="147">
        <v>4</v>
      </c>
      <c r="AU32" s="148">
        <v>4</v>
      </c>
      <c r="AV32" s="146">
        <v>6</v>
      </c>
      <c r="AW32" s="147">
        <v>6</v>
      </c>
      <c r="AX32" s="147">
        <v>6</v>
      </c>
      <c r="AY32" s="148">
        <v>6</v>
      </c>
      <c r="AZ32" s="146">
        <v>6</v>
      </c>
      <c r="BA32" s="147">
        <v>6</v>
      </c>
      <c r="BB32" s="147">
        <v>6</v>
      </c>
      <c r="BC32" s="148">
        <v>6</v>
      </c>
      <c r="BD32" s="146">
        <v>6</v>
      </c>
      <c r="BE32" s="147">
        <v>6</v>
      </c>
      <c r="BF32" s="147">
        <v>6</v>
      </c>
      <c r="BG32" s="148">
        <v>6</v>
      </c>
      <c r="BH32" s="146">
        <v>6</v>
      </c>
      <c r="BI32" s="147">
        <v>6</v>
      </c>
      <c r="BJ32" s="147">
        <v>6</v>
      </c>
      <c r="BK32" s="148">
        <v>6</v>
      </c>
      <c r="BL32" s="149"/>
      <c r="BM32" s="158"/>
      <c r="BN32" s="158"/>
      <c r="BO32" s="159"/>
      <c r="BP32" s="160"/>
      <c r="BQ32" s="158"/>
      <c r="BR32" s="158"/>
      <c r="BS32" s="157"/>
      <c r="BT32" s="160"/>
      <c r="BU32" s="158"/>
      <c r="BV32" s="158"/>
      <c r="BW32" s="157"/>
      <c r="BX32" s="160"/>
      <c r="BY32" s="158"/>
      <c r="BZ32" s="158"/>
      <c r="CA32" s="157"/>
      <c r="CB32" s="84"/>
      <c r="CC32" s="85"/>
    </row>
    <row r="33" spans="1:81" s="6" customFormat="1" ht="15.75" thickBot="1" x14ac:dyDescent="0.3">
      <c r="A33" s="275"/>
      <c r="B33" s="277"/>
      <c r="C33" s="279"/>
      <c r="D33" s="279"/>
      <c r="E33" s="279"/>
      <c r="F33" s="281"/>
      <c r="G33" s="281"/>
      <c r="H33" s="283"/>
      <c r="I33" s="285"/>
      <c r="J33" s="302"/>
      <c r="K33" s="320"/>
      <c r="L33" s="322"/>
      <c r="M33" s="271"/>
      <c r="N33" s="271"/>
      <c r="O33" s="48" t="s">
        <v>27</v>
      </c>
      <c r="P33" s="79"/>
      <c r="Q33" s="80"/>
      <c r="R33" s="80"/>
      <c r="S33" s="81"/>
      <c r="T33" s="79"/>
      <c r="U33" s="80"/>
      <c r="V33" s="80"/>
      <c r="W33" s="81"/>
      <c r="X33" s="79"/>
      <c r="Y33" s="153"/>
      <c r="Z33" s="153"/>
      <c r="AA33" s="154"/>
      <c r="AB33" s="152"/>
      <c r="AC33" s="153"/>
      <c r="AD33" s="153"/>
      <c r="AE33" s="154"/>
      <c r="AF33" s="152"/>
      <c r="AG33" s="153"/>
      <c r="AH33" s="153"/>
      <c r="AI33" s="154"/>
      <c r="AJ33" s="152"/>
      <c r="AK33" s="153"/>
      <c r="AL33" s="153"/>
      <c r="AM33" s="154"/>
      <c r="AN33" s="152"/>
      <c r="AO33" s="153"/>
      <c r="AP33" s="153"/>
      <c r="AQ33" s="154"/>
      <c r="AR33" s="152"/>
      <c r="AS33" s="153"/>
      <c r="AT33" s="153"/>
      <c r="AU33" s="154"/>
      <c r="AV33" s="152"/>
      <c r="AW33" s="153"/>
      <c r="AX33" s="153"/>
      <c r="AY33" s="154"/>
      <c r="AZ33" s="152"/>
      <c r="BA33" s="153"/>
      <c r="BB33" s="153"/>
      <c r="BC33" s="154"/>
      <c r="BD33" s="152"/>
      <c r="BE33" s="153"/>
      <c r="BF33" s="153"/>
      <c r="BG33" s="154"/>
      <c r="BH33" s="152"/>
      <c r="BI33" s="153"/>
      <c r="BJ33" s="153"/>
      <c r="BK33" s="154"/>
      <c r="BL33" s="152"/>
      <c r="BM33" s="153"/>
      <c r="BN33" s="153"/>
      <c r="BO33" s="154"/>
      <c r="BP33" s="152"/>
      <c r="BQ33" s="153"/>
      <c r="BR33" s="153"/>
      <c r="BS33" s="154"/>
      <c r="BT33" s="152"/>
      <c r="BU33" s="153"/>
      <c r="BV33" s="153"/>
      <c r="BW33" s="154"/>
      <c r="BX33" s="152"/>
      <c r="BY33" s="153"/>
      <c r="BZ33" s="153"/>
      <c r="CA33" s="154"/>
      <c r="CB33" s="82"/>
      <c r="CC33" s="83"/>
    </row>
    <row r="34" spans="1:81" s="6" customFormat="1" x14ac:dyDescent="0.25">
      <c r="A34" s="274" t="s">
        <v>82</v>
      </c>
      <c r="B34" s="276" t="s">
        <v>66</v>
      </c>
      <c r="C34" s="278" t="s">
        <v>25</v>
      </c>
      <c r="D34" s="278" t="s">
        <v>119</v>
      </c>
      <c r="E34" s="278">
        <v>1</v>
      </c>
      <c r="F34" s="280">
        <f>G34</f>
        <v>8874.3567199999998</v>
      </c>
      <c r="G34" s="280">
        <f>8874356.72/1000</f>
        <v>8874.3567199999998</v>
      </c>
      <c r="H34" s="282">
        <f>G34/G76</f>
        <v>3.0722003486664078E-2</v>
      </c>
      <c r="I34" s="284">
        <v>0</v>
      </c>
      <c r="J34" s="301">
        <f>I34*H34</f>
        <v>0</v>
      </c>
      <c r="K34" s="319">
        <v>45139</v>
      </c>
      <c r="L34" s="319">
        <v>45245</v>
      </c>
      <c r="M34" s="270"/>
      <c r="N34" s="270"/>
      <c r="O34" s="47" t="s">
        <v>26</v>
      </c>
      <c r="P34" s="74"/>
      <c r="Q34" s="75"/>
      <c r="R34" s="75"/>
      <c r="S34" s="76"/>
      <c r="T34" s="74"/>
      <c r="U34" s="75"/>
      <c r="V34" s="75"/>
      <c r="W34" s="76"/>
      <c r="X34" s="74"/>
      <c r="Y34" s="150"/>
      <c r="Z34" s="150"/>
      <c r="AA34" s="151"/>
      <c r="AB34" s="149"/>
      <c r="AC34" s="150"/>
      <c r="AD34" s="150"/>
      <c r="AE34" s="151"/>
      <c r="AF34" s="149"/>
      <c r="AG34" s="150"/>
      <c r="AH34" s="150"/>
      <c r="AI34" s="151"/>
      <c r="AJ34" s="149"/>
      <c r="AK34" s="150"/>
      <c r="AL34" s="150"/>
      <c r="AM34" s="151"/>
      <c r="AN34" s="149"/>
      <c r="AO34" s="150"/>
      <c r="AP34" s="150"/>
      <c r="AQ34" s="151"/>
      <c r="AR34" s="149"/>
      <c r="AS34" s="150"/>
      <c r="AT34" s="150"/>
      <c r="AU34" s="151"/>
      <c r="AV34" s="149"/>
      <c r="AW34" s="150"/>
      <c r="AX34" s="150"/>
      <c r="AY34" s="151"/>
      <c r="AZ34" s="149"/>
      <c r="BA34" s="150"/>
      <c r="BB34" s="150"/>
      <c r="BC34" s="151"/>
      <c r="BD34" s="149"/>
      <c r="BE34" s="150"/>
      <c r="BF34" s="150"/>
      <c r="BG34" s="151"/>
      <c r="BH34" s="146">
        <v>2</v>
      </c>
      <c r="BI34" s="147">
        <v>2</v>
      </c>
      <c r="BJ34" s="147">
        <v>2</v>
      </c>
      <c r="BK34" s="148">
        <v>2</v>
      </c>
      <c r="BL34" s="146">
        <v>2</v>
      </c>
      <c r="BM34" s="147">
        <v>2</v>
      </c>
      <c r="BN34" s="147">
        <v>2</v>
      </c>
      <c r="BO34" s="148">
        <v>2</v>
      </c>
      <c r="BP34" s="146">
        <v>2</v>
      </c>
      <c r="BQ34" s="147">
        <v>2</v>
      </c>
      <c r="BR34" s="147">
        <v>2</v>
      </c>
      <c r="BS34" s="148">
        <v>2</v>
      </c>
      <c r="BT34" s="146">
        <v>2</v>
      </c>
      <c r="BU34" s="147">
        <v>2</v>
      </c>
      <c r="BV34" s="150"/>
      <c r="BW34" s="151"/>
      <c r="BX34" s="149"/>
      <c r="BY34" s="150"/>
      <c r="BZ34" s="150"/>
      <c r="CA34" s="151"/>
      <c r="CB34" s="86"/>
      <c r="CC34" s="87"/>
    </row>
    <row r="35" spans="1:81" s="6" customFormat="1" ht="15.75" thickBot="1" x14ac:dyDescent="0.3">
      <c r="A35" s="275"/>
      <c r="B35" s="277"/>
      <c r="C35" s="279"/>
      <c r="D35" s="279"/>
      <c r="E35" s="279"/>
      <c r="F35" s="281"/>
      <c r="G35" s="281"/>
      <c r="H35" s="283"/>
      <c r="I35" s="285"/>
      <c r="J35" s="302"/>
      <c r="K35" s="320"/>
      <c r="L35" s="346"/>
      <c r="M35" s="271"/>
      <c r="N35" s="271"/>
      <c r="O35" s="48" t="s">
        <v>27</v>
      </c>
      <c r="P35" s="79"/>
      <c r="Q35" s="80"/>
      <c r="R35" s="80"/>
      <c r="S35" s="81"/>
      <c r="T35" s="79"/>
      <c r="U35" s="80"/>
      <c r="V35" s="80"/>
      <c r="W35" s="81"/>
      <c r="X35" s="79"/>
      <c r="Y35" s="153"/>
      <c r="Z35" s="153"/>
      <c r="AA35" s="154"/>
      <c r="AB35" s="152"/>
      <c r="AC35" s="153"/>
      <c r="AD35" s="153"/>
      <c r="AE35" s="154"/>
      <c r="AF35" s="152"/>
      <c r="AG35" s="153"/>
      <c r="AH35" s="153"/>
      <c r="AI35" s="154"/>
      <c r="AJ35" s="152"/>
      <c r="AK35" s="153"/>
      <c r="AL35" s="153"/>
      <c r="AM35" s="154"/>
      <c r="AN35" s="152"/>
      <c r="AO35" s="153"/>
      <c r="AP35" s="153"/>
      <c r="AQ35" s="154"/>
      <c r="AR35" s="152"/>
      <c r="AS35" s="153"/>
      <c r="AT35" s="153"/>
      <c r="AU35" s="154"/>
      <c r="AV35" s="152"/>
      <c r="AW35" s="153"/>
      <c r="AX35" s="153"/>
      <c r="AY35" s="154"/>
      <c r="AZ35" s="152"/>
      <c r="BA35" s="153"/>
      <c r="BB35" s="153"/>
      <c r="BC35" s="154"/>
      <c r="BD35" s="152"/>
      <c r="BE35" s="153"/>
      <c r="BF35" s="153"/>
      <c r="BG35" s="154"/>
      <c r="BH35" s="152"/>
      <c r="BI35" s="153"/>
      <c r="BJ35" s="153"/>
      <c r="BK35" s="154"/>
      <c r="BL35" s="152"/>
      <c r="BM35" s="153"/>
      <c r="BN35" s="153"/>
      <c r="BO35" s="154"/>
      <c r="BP35" s="152"/>
      <c r="BQ35" s="153"/>
      <c r="BR35" s="153"/>
      <c r="BS35" s="154"/>
      <c r="BT35" s="152"/>
      <c r="BU35" s="153"/>
      <c r="BV35" s="153"/>
      <c r="BW35" s="154"/>
      <c r="BX35" s="152"/>
      <c r="BY35" s="153"/>
      <c r="BZ35" s="153"/>
      <c r="CA35" s="154"/>
      <c r="CB35" s="88"/>
      <c r="CC35" s="89"/>
    </row>
    <row r="36" spans="1:81" x14ac:dyDescent="0.25">
      <c r="A36" s="274" t="s">
        <v>83</v>
      </c>
      <c r="B36" s="276" t="s">
        <v>64</v>
      </c>
      <c r="C36" s="278" t="s">
        <v>25</v>
      </c>
      <c r="D36" s="278" t="s">
        <v>119</v>
      </c>
      <c r="E36" s="278">
        <v>1</v>
      </c>
      <c r="F36" s="280">
        <f>G36</f>
        <v>6496.9715099999994</v>
      </c>
      <c r="G36" s="280">
        <f>6496971.51/1000</f>
        <v>6496.9715099999994</v>
      </c>
      <c r="H36" s="282">
        <f>G36/G76</f>
        <v>2.2491769001480613E-2</v>
      </c>
      <c r="I36" s="284">
        <v>0</v>
      </c>
      <c r="J36" s="301">
        <f t="shared" ref="J36" si="9">I36*H36</f>
        <v>0</v>
      </c>
      <c r="K36" s="319">
        <v>45047</v>
      </c>
      <c r="L36" s="323">
        <v>45169</v>
      </c>
      <c r="M36" s="270"/>
      <c r="N36" s="270"/>
      <c r="O36" s="47" t="s">
        <v>26</v>
      </c>
      <c r="P36" s="74"/>
      <c r="Q36" s="75"/>
      <c r="R36" s="75"/>
      <c r="S36" s="76"/>
      <c r="T36" s="74"/>
      <c r="U36" s="75"/>
      <c r="V36" s="75"/>
      <c r="W36" s="76"/>
      <c r="X36" s="74"/>
      <c r="Y36" s="150"/>
      <c r="Z36" s="150"/>
      <c r="AA36" s="151"/>
      <c r="AB36" s="149"/>
      <c r="AC36" s="150"/>
      <c r="AD36" s="150"/>
      <c r="AE36" s="151"/>
      <c r="AF36" s="149"/>
      <c r="AG36" s="150"/>
      <c r="AH36" s="150"/>
      <c r="AI36" s="151"/>
      <c r="AJ36" s="149"/>
      <c r="AK36" s="150"/>
      <c r="AL36" s="150"/>
      <c r="AM36" s="151"/>
      <c r="AN36" s="149"/>
      <c r="AO36" s="150"/>
      <c r="AP36" s="150"/>
      <c r="AQ36" s="151"/>
      <c r="AR36" s="149"/>
      <c r="AS36" s="150"/>
      <c r="AT36" s="150"/>
      <c r="AU36" s="151"/>
      <c r="AV36" s="146">
        <v>3</v>
      </c>
      <c r="AW36" s="147">
        <v>3</v>
      </c>
      <c r="AX36" s="147">
        <v>3</v>
      </c>
      <c r="AY36" s="148">
        <v>3</v>
      </c>
      <c r="AZ36" s="146">
        <v>3</v>
      </c>
      <c r="BA36" s="147">
        <v>3</v>
      </c>
      <c r="BB36" s="147">
        <v>3</v>
      </c>
      <c r="BC36" s="148">
        <v>3</v>
      </c>
      <c r="BD36" s="146">
        <v>3</v>
      </c>
      <c r="BE36" s="147">
        <v>3</v>
      </c>
      <c r="BF36" s="147">
        <v>3</v>
      </c>
      <c r="BG36" s="148">
        <v>3</v>
      </c>
      <c r="BH36" s="146">
        <v>3</v>
      </c>
      <c r="BI36" s="147">
        <v>3</v>
      </c>
      <c r="BJ36" s="147">
        <v>3</v>
      </c>
      <c r="BK36" s="148">
        <v>3</v>
      </c>
      <c r="BL36" s="149"/>
      <c r="BM36" s="150"/>
      <c r="BN36" s="150"/>
      <c r="BO36" s="151"/>
      <c r="BP36" s="149"/>
      <c r="BQ36" s="150"/>
      <c r="BR36" s="150"/>
      <c r="BS36" s="159"/>
      <c r="BT36" s="149"/>
      <c r="BU36" s="150"/>
      <c r="BV36" s="150"/>
      <c r="BW36" s="159"/>
      <c r="BX36" s="149"/>
      <c r="BY36" s="150"/>
      <c r="BZ36" s="150"/>
      <c r="CA36" s="159"/>
      <c r="CB36" s="84"/>
      <c r="CC36" s="85"/>
    </row>
    <row r="37" spans="1:81" s="6" customFormat="1" ht="15.75" thickBot="1" x14ac:dyDescent="0.3">
      <c r="A37" s="275"/>
      <c r="B37" s="277"/>
      <c r="C37" s="279"/>
      <c r="D37" s="279"/>
      <c r="E37" s="279"/>
      <c r="F37" s="281"/>
      <c r="G37" s="281"/>
      <c r="H37" s="283"/>
      <c r="I37" s="285"/>
      <c r="J37" s="302"/>
      <c r="K37" s="320"/>
      <c r="L37" s="324"/>
      <c r="M37" s="271"/>
      <c r="N37" s="271"/>
      <c r="O37" s="48" t="s">
        <v>27</v>
      </c>
      <c r="P37" s="79"/>
      <c r="Q37" s="80"/>
      <c r="R37" s="80"/>
      <c r="S37" s="81"/>
      <c r="T37" s="79"/>
      <c r="U37" s="80"/>
      <c r="V37" s="80"/>
      <c r="W37" s="81"/>
      <c r="X37" s="79"/>
      <c r="Y37" s="153"/>
      <c r="Z37" s="153"/>
      <c r="AA37" s="154"/>
      <c r="AB37" s="152"/>
      <c r="AC37" s="153"/>
      <c r="AD37" s="153"/>
      <c r="AE37" s="154"/>
      <c r="AF37" s="152"/>
      <c r="AG37" s="153"/>
      <c r="AH37" s="153"/>
      <c r="AI37" s="154"/>
      <c r="AJ37" s="152"/>
      <c r="AK37" s="153"/>
      <c r="AL37" s="153"/>
      <c r="AM37" s="154"/>
      <c r="AN37" s="152"/>
      <c r="AO37" s="153"/>
      <c r="AP37" s="153"/>
      <c r="AQ37" s="154"/>
      <c r="AR37" s="152"/>
      <c r="AS37" s="153"/>
      <c r="AT37" s="153"/>
      <c r="AU37" s="154"/>
      <c r="AV37" s="152"/>
      <c r="AW37" s="153"/>
      <c r="AX37" s="153"/>
      <c r="AY37" s="154"/>
      <c r="AZ37" s="152"/>
      <c r="BA37" s="153"/>
      <c r="BB37" s="153"/>
      <c r="BC37" s="154"/>
      <c r="BD37" s="152"/>
      <c r="BE37" s="153"/>
      <c r="BF37" s="153"/>
      <c r="BG37" s="154"/>
      <c r="BH37" s="152"/>
      <c r="BI37" s="153"/>
      <c r="BJ37" s="153"/>
      <c r="BK37" s="154"/>
      <c r="BL37" s="152"/>
      <c r="BM37" s="153"/>
      <c r="BN37" s="153"/>
      <c r="BO37" s="154"/>
      <c r="BP37" s="152"/>
      <c r="BQ37" s="153"/>
      <c r="BR37" s="153"/>
      <c r="BS37" s="154"/>
      <c r="BT37" s="152"/>
      <c r="BU37" s="153"/>
      <c r="BV37" s="153"/>
      <c r="BW37" s="154"/>
      <c r="BX37" s="152"/>
      <c r="BY37" s="153"/>
      <c r="BZ37" s="153"/>
      <c r="CA37" s="154"/>
      <c r="CB37" s="82"/>
      <c r="CC37" s="83"/>
    </row>
    <row r="38" spans="1:81" x14ac:dyDescent="0.25">
      <c r="A38" s="274" t="s">
        <v>98</v>
      </c>
      <c r="B38" s="276" t="s">
        <v>63</v>
      </c>
      <c r="C38" s="278" t="s">
        <v>25</v>
      </c>
      <c r="D38" s="278" t="s">
        <v>119</v>
      </c>
      <c r="E38" s="278">
        <v>1</v>
      </c>
      <c r="F38" s="280">
        <f>G38</f>
        <v>2251.54648</v>
      </c>
      <c r="G38" s="280">
        <f>(1387054.74+234904.23+629587.51)/1000</f>
        <v>2251.54648</v>
      </c>
      <c r="H38" s="282">
        <f>G38/G76</f>
        <v>7.7945952581615664E-3</v>
      </c>
      <c r="I38" s="284">
        <v>0</v>
      </c>
      <c r="J38" s="301">
        <f t="shared" ref="J38" si="10">I38*H38</f>
        <v>0</v>
      </c>
      <c r="K38" s="319">
        <v>45047</v>
      </c>
      <c r="L38" s="321">
        <v>45169</v>
      </c>
      <c r="M38" s="270"/>
      <c r="N38" s="270"/>
      <c r="O38" s="47" t="s">
        <v>26</v>
      </c>
      <c r="P38" s="74"/>
      <c r="Q38" s="75"/>
      <c r="R38" s="75"/>
      <c r="S38" s="76"/>
      <c r="T38" s="74"/>
      <c r="U38" s="75"/>
      <c r="V38" s="75"/>
      <c r="W38" s="76"/>
      <c r="X38" s="74"/>
      <c r="Y38" s="150"/>
      <c r="Z38" s="150"/>
      <c r="AA38" s="151"/>
      <c r="AB38" s="149"/>
      <c r="AC38" s="150"/>
      <c r="AD38" s="150"/>
      <c r="AE38" s="151"/>
      <c r="AF38" s="149"/>
      <c r="AG38" s="150"/>
      <c r="AH38" s="150"/>
      <c r="AI38" s="151"/>
      <c r="AJ38" s="149"/>
      <c r="AK38" s="150"/>
      <c r="AL38" s="150"/>
      <c r="AM38" s="151"/>
      <c r="AN38" s="149"/>
      <c r="AO38" s="150"/>
      <c r="AP38" s="150"/>
      <c r="AQ38" s="151"/>
      <c r="AR38" s="149"/>
      <c r="AS38" s="150"/>
      <c r="AT38" s="150"/>
      <c r="AU38" s="151"/>
      <c r="AV38" s="146">
        <v>4</v>
      </c>
      <c r="AW38" s="147">
        <v>4</v>
      </c>
      <c r="AX38" s="147">
        <v>4</v>
      </c>
      <c r="AY38" s="148">
        <v>4</v>
      </c>
      <c r="AZ38" s="146">
        <v>4</v>
      </c>
      <c r="BA38" s="147">
        <v>4</v>
      </c>
      <c r="BB38" s="147">
        <v>4</v>
      </c>
      <c r="BC38" s="148">
        <v>4</v>
      </c>
      <c r="BD38" s="146">
        <v>4</v>
      </c>
      <c r="BE38" s="147">
        <v>4</v>
      </c>
      <c r="BF38" s="147">
        <v>4</v>
      </c>
      <c r="BG38" s="148">
        <v>4</v>
      </c>
      <c r="BH38" s="146">
        <v>4</v>
      </c>
      <c r="BI38" s="147">
        <v>4</v>
      </c>
      <c r="BJ38" s="147">
        <v>4</v>
      </c>
      <c r="BK38" s="148">
        <v>4</v>
      </c>
      <c r="BL38" s="149"/>
      <c r="BM38" s="150"/>
      <c r="BN38" s="150"/>
      <c r="BO38" s="151"/>
      <c r="BP38" s="149"/>
      <c r="BQ38" s="150"/>
      <c r="BR38" s="150"/>
      <c r="BS38" s="159"/>
      <c r="BT38" s="149"/>
      <c r="BU38" s="150"/>
      <c r="BV38" s="150"/>
      <c r="BW38" s="159"/>
      <c r="BX38" s="149"/>
      <c r="BY38" s="150"/>
      <c r="BZ38" s="150"/>
      <c r="CA38" s="159"/>
      <c r="CB38" s="84"/>
      <c r="CC38" s="85"/>
    </row>
    <row r="39" spans="1:81" s="6" customFormat="1" ht="15.75" thickBot="1" x14ac:dyDescent="0.3">
      <c r="A39" s="275"/>
      <c r="B39" s="277"/>
      <c r="C39" s="279"/>
      <c r="D39" s="279"/>
      <c r="E39" s="279"/>
      <c r="F39" s="281"/>
      <c r="G39" s="281"/>
      <c r="H39" s="283"/>
      <c r="I39" s="285"/>
      <c r="J39" s="302"/>
      <c r="K39" s="320"/>
      <c r="L39" s="322"/>
      <c r="M39" s="271"/>
      <c r="N39" s="271"/>
      <c r="O39" s="48" t="s">
        <v>27</v>
      </c>
      <c r="P39" s="79"/>
      <c r="Q39" s="80"/>
      <c r="R39" s="80"/>
      <c r="S39" s="81"/>
      <c r="T39" s="79"/>
      <c r="U39" s="80"/>
      <c r="V39" s="80"/>
      <c r="W39" s="81"/>
      <c r="X39" s="79"/>
      <c r="Y39" s="153"/>
      <c r="Z39" s="153"/>
      <c r="AA39" s="154"/>
      <c r="AB39" s="152"/>
      <c r="AC39" s="153"/>
      <c r="AD39" s="153"/>
      <c r="AE39" s="154"/>
      <c r="AF39" s="152"/>
      <c r="AG39" s="153"/>
      <c r="AH39" s="153"/>
      <c r="AI39" s="154"/>
      <c r="AJ39" s="152"/>
      <c r="AK39" s="153"/>
      <c r="AL39" s="153"/>
      <c r="AM39" s="154"/>
      <c r="AN39" s="152"/>
      <c r="AO39" s="153"/>
      <c r="AP39" s="153"/>
      <c r="AQ39" s="154"/>
      <c r="AR39" s="152"/>
      <c r="AS39" s="153"/>
      <c r="AT39" s="153"/>
      <c r="AU39" s="154"/>
      <c r="AV39" s="164"/>
      <c r="AW39" s="138"/>
      <c r="AX39" s="138"/>
      <c r="AY39" s="165"/>
      <c r="AZ39" s="164"/>
      <c r="BA39" s="138"/>
      <c r="BB39" s="138"/>
      <c r="BC39" s="165"/>
      <c r="BD39" s="164"/>
      <c r="BE39" s="138"/>
      <c r="BF39" s="138"/>
      <c r="BG39" s="165"/>
      <c r="BH39" s="164"/>
      <c r="BI39" s="138"/>
      <c r="BJ39" s="138"/>
      <c r="BK39" s="165"/>
      <c r="BL39" s="152"/>
      <c r="BM39" s="153"/>
      <c r="BN39" s="153"/>
      <c r="BO39" s="154"/>
      <c r="BP39" s="152"/>
      <c r="BQ39" s="153"/>
      <c r="BR39" s="153"/>
      <c r="BS39" s="154"/>
      <c r="BT39" s="152"/>
      <c r="BU39" s="153"/>
      <c r="BV39" s="153"/>
      <c r="BW39" s="154"/>
      <c r="BX39" s="152"/>
      <c r="BY39" s="153"/>
      <c r="BZ39" s="153"/>
      <c r="CA39" s="154"/>
      <c r="CB39" s="82"/>
      <c r="CC39" s="83"/>
    </row>
    <row r="40" spans="1:81" x14ac:dyDescent="0.25">
      <c r="A40" s="274" t="s">
        <v>99</v>
      </c>
      <c r="B40" s="276" t="s">
        <v>102</v>
      </c>
      <c r="C40" s="278" t="s">
        <v>25</v>
      </c>
      <c r="D40" s="278" t="s">
        <v>119</v>
      </c>
      <c r="E40" s="278">
        <v>1</v>
      </c>
      <c r="F40" s="280">
        <f>G40</f>
        <v>2088.4625799999999</v>
      </c>
      <c r="G40" s="280">
        <f>(1821425.23+267037.35)/1000</f>
        <v>2088.4625799999999</v>
      </c>
      <c r="H40" s="282">
        <f>G40/G76</f>
        <v>7.2300175312907024E-3</v>
      </c>
      <c r="I40" s="284">
        <v>0</v>
      </c>
      <c r="J40" s="301">
        <f t="shared" ref="J40" si="11">I40*H40</f>
        <v>0</v>
      </c>
      <c r="K40" s="319">
        <v>45047</v>
      </c>
      <c r="L40" s="321">
        <v>45169</v>
      </c>
      <c r="M40" s="270"/>
      <c r="N40" s="270"/>
      <c r="O40" s="47" t="s">
        <v>26</v>
      </c>
      <c r="P40" s="74"/>
      <c r="Q40" s="75"/>
      <c r="R40" s="75"/>
      <c r="S40" s="76"/>
      <c r="T40" s="74"/>
      <c r="U40" s="75"/>
      <c r="V40" s="75"/>
      <c r="W40" s="76"/>
      <c r="X40" s="74"/>
      <c r="Y40" s="150"/>
      <c r="Z40" s="150"/>
      <c r="AA40" s="151"/>
      <c r="AB40" s="149"/>
      <c r="AC40" s="150"/>
      <c r="AD40" s="150"/>
      <c r="AE40" s="151"/>
      <c r="AF40" s="149"/>
      <c r="AG40" s="150"/>
      <c r="AH40" s="150"/>
      <c r="AI40" s="151"/>
      <c r="AJ40" s="149"/>
      <c r="AK40" s="150"/>
      <c r="AL40" s="150"/>
      <c r="AM40" s="151"/>
      <c r="AN40" s="149"/>
      <c r="AO40" s="150"/>
      <c r="AP40" s="150"/>
      <c r="AQ40" s="151"/>
      <c r="AR40" s="149"/>
      <c r="AS40" s="150"/>
      <c r="AT40" s="150"/>
      <c r="AU40" s="151"/>
      <c r="AV40" s="146">
        <v>3</v>
      </c>
      <c r="AW40" s="147">
        <v>3</v>
      </c>
      <c r="AX40" s="147">
        <v>3</v>
      </c>
      <c r="AY40" s="148">
        <v>3</v>
      </c>
      <c r="AZ40" s="146">
        <v>3</v>
      </c>
      <c r="BA40" s="147">
        <v>3</v>
      </c>
      <c r="BB40" s="147">
        <v>3</v>
      </c>
      <c r="BC40" s="148">
        <v>3</v>
      </c>
      <c r="BD40" s="146">
        <v>3</v>
      </c>
      <c r="BE40" s="147">
        <v>3</v>
      </c>
      <c r="BF40" s="147">
        <v>3</v>
      </c>
      <c r="BG40" s="148">
        <v>3</v>
      </c>
      <c r="BH40" s="146">
        <v>3</v>
      </c>
      <c r="BI40" s="147">
        <v>3</v>
      </c>
      <c r="BJ40" s="147">
        <v>3</v>
      </c>
      <c r="BK40" s="148">
        <v>3</v>
      </c>
      <c r="BL40" s="149"/>
      <c r="BM40" s="150"/>
      <c r="BN40" s="150"/>
      <c r="BO40" s="151"/>
      <c r="BP40" s="149"/>
      <c r="BQ40" s="150"/>
      <c r="BR40" s="150"/>
      <c r="BS40" s="159"/>
      <c r="BT40" s="149"/>
      <c r="BU40" s="150"/>
      <c r="BV40" s="150"/>
      <c r="BW40" s="159"/>
      <c r="BX40" s="149"/>
      <c r="BY40" s="150"/>
      <c r="BZ40" s="150"/>
      <c r="CA40" s="159"/>
      <c r="CB40" s="84"/>
      <c r="CC40" s="85"/>
    </row>
    <row r="41" spans="1:81" s="6" customFormat="1" ht="15.75" thickBot="1" x14ac:dyDescent="0.3">
      <c r="A41" s="275"/>
      <c r="B41" s="277"/>
      <c r="C41" s="279"/>
      <c r="D41" s="279"/>
      <c r="E41" s="279"/>
      <c r="F41" s="281"/>
      <c r="G41" s="281"/>
      <c r="H41" s="283"/>
      <c r="I41" s="285"/>
      <c r="J41" s="302"/>
      <c r="K41" s="320"/>
      <c r="L41" s="322"/>
      <c r="M41" s="271"/>
      <c r="N41" s="271"/>
      <c r="O41" s="48" t="s">
        <v>27</v>
      </c>
      <c r="P41" s="79"/>
      <c r="Q41" s="80"/>
      <c r="R41" s="80"/>
      <c r="S41" s="81"/>
      <c r="T41" s="79"/>
      <c r="U41" s="80"/>
      <c r="V41" s="80"/>
      <c r="W41" s="81"/>
      <c r="X41" s="79"/>
      <c r="Y41" s="153"/>
      <c r="Z41" s="153"/>
      <c r="AA41" s="154"/>
      <c r="AB41" s="152"/>
      <c r="AC41" s="153"/>
      <c r="AD41" s="153"/>
      <c r="AE41" s="154"/>
      <c r="AF41" s="152"/>
      <c r="AG41" s="153"/>
      <c r="AH41" s="153"/>
      <c r="AI41" s="154"/>
      <c r="AJ41" s="152"/>
      <c r="AK41" s="153"/>
      <c r="AL41" s="153"/>
      <c r="AM41" s="154"/>
      <c r="AN41" s="152"/>
      <c r="AO41" s="153"/>
      <c r="AP41" s="153"/>
      <c r="AQ41" s="154"/>
      <c r="AR41" s="152"/>
      <c r="AS41" s="153"/>
      <c r="AT41" s="153"/>
      <c r="AU41" s="154"/>
      <c r="AV41" s="152"/>
      <c r="AW41" s="153"/>
      <c r="AX41" s="153"/>
      <c r="AY41" s="154"/>
      <c r="AZ41" s="152"/>
      <c r="BA41" s="153"/>
      <c r="BB41" s="153"/>
      <c r="BC41" s="154"/>
      <c r="BD41" s="152"/>
      <c r="BE41" s="153"/>
      <c r="BF41" s="153"/>
      <c r="BG41" s="154"/>
      <c r="BH41" s="152"/>
      <c r="BI41" s="153"/>
      <c r="BJ41" s="153"/>
      <c r="BK41" s="154"/>
      <c r="BL41" s="152"/>
      <c r="BM41" s="153"/>
      <c r="BN41" s="153"/>
      <c r="BO41" s="154"/>
      <c r="BP41" s="152"/>
      <c r="BQ41" s="153"/>
      <c r="BR41" s="153"/>
      <c r="BS41" s="154"/>
      <c r="BT41" s="152"/>
      <c r="BU41" s="153"/>
      <c r="BV41" s="153"/>
      <c r="BW41" s="154"/>
      <c r="BX41" s="152"/>
      <c r="BY41" s="153"/>
      <c r="BZ41" s="153"/>
      <c r="CA41" s="154"/>
      <c r="CB41" s="82"/>
      <c r="CC41" s="83"/>
    </row>
    <row r="42" spans="1:81" x14ac:dyDescent="0.25">
      <c r="A42" s="274" t="s">
        <v>100</v>
      </c>
      <c r="B42" s="276" t="s">
        <v>115</v>
      </c>
      <c r="C42" s="278" t="s">
        <v>25</v>
      </c>
      <c r="D42" s="278" t="s">
        <v>119</v>
      </c>
      <c r="E42" s="278">
        <v>1</v>
      </c>
      <c r="F42" s="280">
        <f>G42</f>
        <v>16315.359618946404</v>
      </c>
      <c r="G42" s="280">
        <f>(((6182352+9553015+26105)*1.011)*1.004*1.0198)/1000</f>
        <v>16315.359618946404</v>
      </c>
      <c r="H42" s="282">
        <f>G42/G76</f>
        <v>5.6481900707215399E-2</v>
      </c>
      <c r="I42" s="284">
        <v>0</v>
      </c>
      <c r="J42" s="301">
        <f t="shared" ref="J42" si="12">I42*H42</f>
        <v>0</v>
      </c>
      <c r="K42" s="319">
        <v>45078</v>
      </c>
      <c r="L42" s="319">
        <v>45245</v>
      </c>
      <c r="M42" s="270"/>
      <c r="N42" s="270"/>
      <c r="O42" s="47" t="s">
        <v>26</v>
      </c>
      <c r="P42" s="74"/>
      <c r="Q42" s="75"/>
      <c r="R42" s="75"/>
      <c r="S42" s="76"/>
      <c r="T42" s="74"/>
      <c r="U42" s="75"/>
      <c r="V42" s="75"/>
      <c r="W42" s="76"/>
      <c r="X42" s="74"/>
      <c r="Y42" s="150"/>
      <c r="Z42" s="150"/>
      <c r="AA42" s="151"/>
      <c r="AB42" s="149"/>
      <c r="AC42" s="150"/>
      <c r="AD42" s="150"/>
      <c r="AE42" s="151"/>
      <c r="AF42" s="149"/>
      <c r="AG42" s="150"/>
      <c r="AH42" s="150"/>
      <c r="AI42" s="151"/>
      <c r="AJ42" s="149"/>
      <c r="AK42" s="150"/>
      <c r="AL42" s="150"/>
      <c r="AM42" s="151"/>
      <c r="AN42" s="149"/>
      <c r="AO42" s="150"/>
      <c r="AP42" s="150"/>
      <c r="AQ42" s="151"/>
      <c r="AR42" s="149"/>
      <c r="AS42" s="150"/>
      <c r="AT42" s="150"/>
      <c r="AU42" s="151"/>
      <c r="AV42" s="149"/>
      <c r="AW42" s="150"/>
      <c r="AX42" s="150"/>
      <c r="AY42" s="151"/>
      <c r="AZ42" s="146">
        <v>6</v>
      </c>
      <c r="BA42" s="147">
        <v>6</v>
      </c>
      <c r="BB42" s="147">
        <v>6</v>
      </c>
      <c r="BC42" s="148">
        <v>6</v>
      </c>
      <c r="BD42" s="146">
        <v>6</v>
      </c>
      <c r="BE42" s="147">
        <v>6</v>
      </c>
      <c r="BF42" s="147">
        <v>6</v>
      </c>
      <c r="BG42" s="148">
        <v>6</v>
      </c>
      <c r="BH42" s="146">
        <v>6</v>
      </c>
      <c r="BI42" s="147">
        <v>6</v>
      </c>
      <c r="BJ42" s="147">
        <v>6</v>
      </c>
      <c r="BK42" s="148">
        <v>6</v>
      </c>
      <c r="BL42" s="146">
        <v>6</v>
      </c>
      <c r="BM42" s="147">
        <v>6</v>
      </c>
      <c r="BN42" s="147">
        <v>6</v>
      </c>
      <c r="BO42" s="148">
        <v>6</v>
      </c>
      <c r="BP42" s="146">
        <v>6</v>
      </c>
      <c r="BQ42" s="147">
        <v>6</v>
      </c>
      <c r="BR42" s="147">
        <v>6</v>
      </c>
      <c r="BS42" s="148">
        <v>6</v>
      </c>
      <c r="BT42" s="146">
        <v>6</v>
      </c>
      <c r="BU42" s="147">
        <v>6</v>
      </c>
      <c r="BV42" s="150"/>
      <c r="BW42" s="159"/>
      <c r="BX42" s="149"/>
      <c r="BY42" s="150"/>
      <c r="BZ42" s="150"/>
      <c r="CA42" s="159"/>
      <c r="CB42" s="84"/>
      <c r="CC42" s="85"/>
    </row>
    <row r="43" spans="1:81" s="6" customFormat="1" ht="15.75" thickBot="1" x14ac:dyDescent="0.3">
      <c r="A43" s="275"/>
      <c r="B43" s="277"/>
      <c r="C43" s="279"/>
      <c r="D43" s="279"/>
      <c r="E43" s="279"/>
      <c r="F43" s="281"/>
      <c r="G43" s="281"/>
      <c r="H43" s="283"/>
      <c r="I43" s="285"/>
      <c r="J43" s="302"/>
      <c r="K43" s="320"/>
      <c r="L43" s="346"/>
      <c r="M43" s="271"/>
      <c r="N43" s="271"/>
      <c r="O43" s="48" t="s">
        <v>27</v>
      </c>
      <c r="P43" s="79"/>
      <c r="Q43" s="80"/>
      <c r="R43" s="80"/>
      <c r="S43" s="81"/>
      <c r="T43" s="79"/>
      <c r="U43" s="80"/>
      <c r="V43" s="80"/>
      <c r="W43" s="81"/>
      <c r="X43" s="79"/>
      <c r="Y43" s="153"/>
      <c r="Z43" s="153"/>
      <c r="AA43" s="154"/>
      <c r="AB43" s="152"/>
      <c r="AC43" s="153"/>
      <c r="AD43" s="153"/>
      <c r="AE43" s="154"/>
      <c r="AF43" s="152"/>
      <c r="AG43" s="153"/>
      <c r="AH43" s="153"/>
      <c r="AI43" s="154"/>
      <c r="AJ43" s="152"/>
      <c r="AK43" s="153"/>
      <c r="AL43" s="153"/>
      <c r="AM43" s="154"/>
      <c r="AN43" s="152"/>
      <c r="AO43" s="153"/>
      <c r="AP43" s="153"/>
      <c r="AQ43" s="154"/>
      <c r="AR43" s="152"/>
      <c r="AS43" s="153"/>
      <c r="AT43" s="153"/>
      <c r="AU43" s="154"/>
      <c r="AV43" s="152"/>
      <c r="AW43" s="153"/>
      <c r="AX43" s="153"/>
      <c r="AY43" s="154"/>
      <c r="AZ43" s="152"/>
      <c r="BA43" s="153"/>
      <c r="BB43" s="153"/>
      <c r="BC43" s="154"/>
      <c r="BD43" s="152"/>
      <c r="BE43" s="153"/>
      <c r="BF43" s="153"/>
      <c r="BG43" s="154"/>
      <c r="BH43" s="152"/>
      <c r="BI43" s="153"/>
      <c r="BJ43" s="153"/>
      <c r="BK43" s="154"/>
      <c r="BL43" s="152"/>
      <c r="BM43" s="153"/>
      <c r="BN43" s="153"/>
      <c r="BO43" s="154"/>
      <c r="BP43" s="152"/>
      <c r="BQ43" s="153"/>
      <c r="BR43" s="153"/>
      <c r="BS43" s="154"/>
      <c r="BT43" s="152"/>
      <c r="BU43" s="153"/>
      <c r="BV43" s="153"/>
      <c r="BW43" s="154"/>
      <c r="BX43" s="152"/>
      <c r="BY43" s="153"/>
      <c r="BZ43" s="153"/>
      <c r="CA43" s="154"/>
      <c r="CB43" s="82"/>
      <c r="CC43" s="83"/>
    </row>
    <row r="44" spans="1:81" x14ac:dyDescent="0.25">
      <c r="A44" s="274" t="s">
        <v>101</v>
      </c>
      <c r="B44" s="276" t="s">
        <v>113</v>
      </c>
      <c r="C44" s="278" t="s">
        <v>25</v>
      </c>
      <c r="D44" s="278" t="s">
        <v>119</v>
      </c>
      <c r="E44" s="278">
        <v>1</v>
      </c>
      <c r="F44" s="280">
        <f>G44</f>
        <v>10198.94127923037</v>
      </c>
      <c r="G44" s="280">
        <f>(((1336592+536503+5618662+1723009+131526+15333+12207+327394+108627+42846)*1.011)*1.004*1.0198)/1000</f>
        <v>10198.94127923037</v>
      </c>
      <c r="H44" s="282">
        <f>G44/G76</f>
        <v>3.5307563063658051E-2</v>
      </c>
      <c r="I44" s="284">
        <v>0</v>
      </c>
      <c r="J44" s="301">
        <f t="shared" ref="J44" si="13">I44*H44</f>
        <v>0</v>
      </c>
      <c r="K44" s="319">
        <v>45078</v>
      </c>
      <c r="L44" s="344">
        <v>45169</v>
      </c>
      <c r="M44" s="270"/>
      <c r="N44" s="270"/>
      <c r="O44" s="47" t="s">
        <v>26</v>
      </c>
      <c r="P44" s="74"/>
      <c r="Q44" s="75"/>
      <c r="R44" s="75"/>
      <c r="S44" s="76"/>
      <c r="T44" s="74"/>
      <c r="U44" s="75"/>
      <c r="V44" s="75"/>
      <c r="W44" s="76"/>
      <c r="X44" s="74"/>
      <c r="Y44" s="150"/>
      <c r="Z44" s="150"/>
      <c r="AA44" s="151"/>
      <c r="AB44" s="149"/>
      <c r="AC44" s="150"/>
      <c r="AD44" s="150"/>
      <c r="AE44" s="151"/>
      <c r="AF44" s="149"/>
      <c r="AG44" s="150"/>
      <c r="AH44" s="150"/>
      <c r="AI44" s="151"/>
      <c r="AJ44" s="149"/>
      <c r="AK44" s="150"/>
      <c r="AL44" s="150"/>
      <c r="AM44" s="151"/>
      <c r="AN44" s="149"/>
      <c r="AO44" s="150"/>
      <c r="AP44" s="150"/>
      <c r="AQ44" s="151"/>
      <c r="AR44" s="149"/>
      <c r="AS44" s="150"/>
      <c r="AT44" s="150"/>
      <c r="AU44" s="151"/>
      <c r="AV44" s="149"/>
      <c r="AW44" s="150"/>
      <c r="AX44" s="150"/>
      <c r="AY44" s="151"/>
      <c r="AZ44" s="146">
        <v>3</v>
      </c>
      <c r="BA44" s="147">
        <v>3</v>
      </c>
      <c r="BB44" s="147">
        <v>3</v>
      </c>
      <c r="BC44" s="148">
        <v>3</v>
      </c>
      <c r="BD44" s="146">
        <v>3</v>
      </c>
      <c r="BE44" s="147">
        <v>3</v>
      </c>
      <c r="BF44" s="147">
        <v>3</v>
      </c>
      <c r="BG44" s="148">
        <v>3</v>
      </c>
      <c r="BH44" s="146">
        <v>3</v>
      </c>
      <c r="BI44" s="147">
        <v>3</v>
      </c>
      <c r="BJ44" s="147">
        <v>3</v>
      </c>
      <c r="BK44" s="148">
        <v>3</v>
      </c>
      <c r="BL44" s="149"/>
      <c r="BM44" s="150"/>
      <c r="BN44" s="150"/>
      <c r="BO44" s="151"/>
      <c r="BP44" s="149"/>
      <c r="BQ44" s="150"/>
      <c r="BR44" s="150"/>
      <c r="BS44" s="159"/>
      <c r="BT44" s="149"/>
      <c r="BU44" s="150"/>
      <c r="BV44" s="150"/>
      <c r="BW44" s="159"/>
      <c r="BX44" s="149"/>
      <c r="BY44" s="150"/>
      <c r="BZ44" s="150"/>
      <c r="CA44" s="159"/>
      <c r="CB44" s="84"/>
      <c r="CC44" s="85"/>
    </row>
    <row r="45" spans="1:81" s="6" customFormat="1" ht="15.75" thickBot="1" x14ac:dyDescent="0.3">
      <c r="A45" s="275"/>
      <c r="B45" s="277"/>
      <c r="C45" s="279"/>
      <c r="D45" s="279"/>
      <c r="E45" s="279"/>
      <c r="F45" s="281"/>
      <c r="G45" s="281"/>
      <c r="H45" s="283"/>
      <c r="I45" s="285"/>
      <c r="J45" s="302"/>
      <c r="K45" s="320"/>
      <c r="L45" s="345"/>
      <c r="M45" s="271"/>
      <c r="N45" s="271"/>
      <c r="O45" s="48" t="s">
        <v>27</v>
      </c>
      <c r="P45" s="79"/>
      <c r="Q45" s="80"/>
      <c r="R45" s="80"/>
      <c r="S45" s="81"/>
      <c r="T45" s="79"/>
      <c r="U45" s="80"/>
      <c r="V45" s="80"/>
      <c r="W45" s="81"/>
      <c r="X45" s="79"/>
      <c r="Y45" s="153"/>
      <c r="Z45" s="153"/>
      <c r="AA45" s="154"/>
      <c r="AB45" s="152"/>
      <c r="AC45" s="153"/>
      <c r="AD45" s="153"/>
      <c r="AE45" s="154"/>
      <c r="AF45" s="152"/>
      <c r="AG45" s="153"/>
      <c r="AH45" s="153"/>
      <c r="AI45" s="154"/>
      <c r="AJ45" s="152"/>
      <c r="AK45" s="153"/>
      <c r="AL45" s="153"/>
      <c r="AM45" s="154"/>
      <c r="AN45" s="152"/>
      <c r="AO45" s="153"/>
      <c r="AP45" s="153"/>
      <c r="AQ45" s="154"/>
      <c r="AR45" s="152"/>
      <c r="AS45" s="153"/>
      <c r="AT45" s="153"/>
      <c r="AU45" s="154"/>
      <c r="AV45" s="152"/>
      <c r="AW45" s="153"/>
      <c r="AX45" s="153"/>
      <c r="AY45" s="154"/>
      <c r="AZ45" s="152"/>
      <c r="BA45" s="153"/>
      <c r="BB45" s="153"/>
      <c r="BC45" s="154"/>
      <c r="BD45" s="152"/>
      <c r="BE45" s="153"/>
      <c r="BF45" s="153"/>
      <c r="BG45" s="154"/>
      <c r="BH45" s="152"/>
      <c r="BI45" s="153"/>
      <c r="BJ45" s="153"/>
      <c r="BK45" s="154"/>
      <c r="BL45" s="152"/>
      <c r="BM45" s="153"/>
      <c r="BN45" s="153"/>
      <c r="BO45" s="154"/>
      <c r="BP45" s="152"/>
      <c r="BQ45" s="153"/>
      <c r="BR45" s="153"/>
      <c r="BS45" s="154"/>
      <c r="BT45" s="152"/>
      <c r="BU45" s="153"/>
      <c r="BV45" s="153"/>
      <c r="BW45" s="154"/>
      <c r="BX45" s="152"/>
      <c r="BY45" s="153"/>
      <c r="BZ45" s="153"/>
      <c r="CA45" s="154"/>
      <c r="CB45" s="82"/>
      <c r="CC45" s="83"/>
    </row>
    <row r="46" spans="1:81" s="16" customFormat="1" thickBot="1" x14ac:dyDescent="0.25">
      <c r="A46" s="90" t="s">
        <v>16</v>
      </c>
      <c r="B46" s="91" t="s">
        <v>31</v>
      </c>
      <c r="C46" s="59"/>
      <c r="D46" s="59"/>
      <c r="E46" s="59"/>
      <c r="F46" s="144"/>
      <c r="G46" s="144"/>
      <c r="H46" s="59"/>
      <c r="I46" s="59"/>
      <c r="J46" s="59"/>
      <c r="K46" s="71">
        <v>45047</v>
      </c>
      <c r="L46" s="70">
        <v>45199</v>
      </c>
      <c r="M46" s="91"/>
      <c r="N46" s="91"/>
      <c r="O46" s="51"/>
      <c r="P46" s="92"/>
      <c r="Q46" s="93"/>
      <c r="R46" s="93"/>
      <c r="S46" s="94"/>
      <c r="T46" s="92"/>
      <c r="U46" s="93"/>
      <c r="V46" s="93"/>
      <c r="W46" s="94"/>
      <c r="X46" s="92"/>
      <c r="Y46" s="162"/>
      <c r="Z46" s="162"/>
      <c r="AA46" s="163"/>
      <c r="AB46" s="161"/>
      <c r="AC46" s="162"/>
      <c r="AD46" s="162"/>
      <c r="AE46" s="163"/>
      <c r="AF46" s="161"/>
      <c r="AG46" s="162"/>
      <c r="AH46" s="162"/>
      <c r="AI46" s="163"/>
      <c r="AJ46" s="161"/>
      <c r="AK46" s="162"/>
      <c r="AL46" s="162"/>
      <c r="AM46" s="163"/>
      <c r="AN46" s="161"/>
      <c r="AO46" s="162"/>
      <c r="AP46" s="162"/>
      <c r="AQ46" s="163"/>
      <c r="AR46" s="161"/>
      <c r="AS46" s="162"/>
      <c r="AT46" s="162"/>
      <c r="AU46" s="163"/>
      <c r="AV46" s="161"/>
      <c r="AW46" s="162"/>
      <c r="AX46" s="162"/>
      <c r="AY46" s="163"/>
      <c r="AZ46" s="161"/>
      <c r="BA46" s="162"/>
      <c r="BB46" s="162"/>
      <c r="BC46" s="163"/>
      <c r="BD46" s="161"/>
      <c r="BE46" s="162"/>
      <c r="BF46" s="162"/>
      <c r="BG46" s="163"/>
      <c r="BH46" s="161"/>
      <c r="BI46" s="162"/>
      <c r="BJ46" s="162"/>
      <c r="BK46" s="163"/>
      <c r="BL46" s="161"/>
      <c r="BM46" s="162"/>
      <c r="BN46" s="162"/>
      <c r="BO46" s="163"/>
      <c r="BP46" s="161"/>
      <c r="BQ46" s="162"/>
      <c r="BR46" s="162"/>
      <c r="BS46" s="163"/>
      <c r="BT46" s="161"/>
      <c r="BU46" s="162"/>
      <c r="BV46" s="162"/>
      <c r="BW46" s="163"/>
      <c r="BX46" s="161"/>
      <c r="BY46" s="162"/>
      <c r="BZ46" s="162"/>
      <c r="CA46" s="163"/>
      <c r="CB46" s="95"/>
      <c r="CC46" s="96"/>
    </row>
    <row r="47" spans="1:81" s="6" customFormat="1" x14ac:dyDescent="0.25">
      <c r="A47" s="361" t="s">
        <v>84</v>
      </c>
      <c r="B47" s="276" t="s">
        <v>32</v>
      </c>
      <c r="C47" s="278" t="s">
        <v>25</v>
      </c>
      <c r="D47" s="278" t="s">
        <v>119</v>
      </c>
      <c r="E47" s="278">
        <v>1</v>
      </c>
      <c r="F47" s="280">
        <f>G47</f>
        <v>4332.0441500000006</v>
      </c>
      <c r="G47" s="280">
        <f>4332044.15/1000</f>
        <v>4332.0441500000006</v>
      </c>
      <c r="H47" s="282">
        <f>G47/G76</f>
        <v>1.4997039186033841E-2</v>
      </c>
      <c r="I47" s="284">
        <v>0</v>
      </c>
      <c r="J47" s="301">
        <f t="shared" ref="J47:J55" si="14">I47*H47</f>
        <v>0</v>
      </c>
      <c r="K47" s="319">
        <v>45047</v>
      </c>
      <c r="L47" s="290">
        <v>45169</v>
      </c>
      <c r="M47" s="270"/>
      <c r="N47" s="270"/>
      <c r="O47" s="47" t="s">
        <v>26</v>
      </c>
      <c r="P47" s="74"/>
      <c r="Q47" s="75"/>
      <c r="R47" s="75"/>
      <c r="S47" s="76"/>
      <c r="T47" s="74"/>
      <c r="U47" s="75"/>
      <c r="V47" s="75"/>
      <c r="W47" s="76"/>
      <c r="X47" s="74"/>
      <c r="Y47" s="150"/>
      <c r="Z47" s="150"/>
      <c r="AA47" s="151"/>
      <c r="AB47" s="149"/>
      <c r="AC47" s="150"/>
      <c r="AD47" s="150"/>
      <c r="AE47" s="151"/>
      <c r="AF47" s="149"/>
      <c r="AG47" s="150"/>
      <c r="AH47" s="150"/>
      <c r="AI47" s="151"/>
      <c r="AJ47" s="149"/>
      <c r="AK47" s="150"/>
      <c r="AL47" s="150"/>
      <c r="AM47" s="151"/>
      <c r="AN47" s="149"/>
      <c r="AO47" s="150"/>
      <c r="AP47" s="150"/>
      <c r="AQ47" s="151"/>
      <c r="AR47" s="149"/>
      <c r="AS47" s="150"/>
      <c r="AT47" s="150"/>
      <c r="AU47" s="151"/>
      <c r="AV47" s="146">
        <v>4</v>
      </c>
      <c r="AW47" s="147">
        <v>4</v>
      </c>
      <c r="AX47" s="147">
        <v>4</v>
      </c>
      <c r="AY47" s="148">
        <v>4</v>
      </c>
      <c r="AZ47" s="146">
        <v>4</v>
      </c>
      <c r="BA47" s="147">
        <v>4</v>
      </c>
      <c r="BB47" s="147">
        <v>4</v>
      </c>
      <c r="BC47" s="148">
        <v>4</v>
      </c>
      <c r="BD47" s="146">
        <v>4</v>
      </c>
      <c r="BE47" s="147">
        <v>4</v>
      </c>
      <c r="BF47" s="147">
        <v>4</v>
      </c>
      <c r="BG47" s="148">
        <v>4</v>
      </c>
      <c r="BH47" s="146">
        <v>4</v>
      </c>
      <c r="BI47" s="147">
        <v>4</v>
      </c>
      <c r="BJ47" s="147">
        <v>4</v>
      </c>
      <c r="BK47" s="148">
        <v>4</v>
      </c>
      <c r="BL47" s="149"/>
      <c r="BM47" s="150"/>
      <c r="BN47" s="150"/>
      <c r="BO47" s="151"/>
      <c r="BP47" s="149"/>
      <c r="BQ47" s="150"/>
      <c r="BR47" s="150"/>
      <c r="BS47" s="151"/>
      <c r="BT47" s="149"/>
      <c r="BU47" s="150"/>
      <c r="BV47" s="150"/>
      <c r="BW47" s="151"/>
      <c r="BX47" s="149"/>
      <c r="BY47" s="150"/>
      <c r="BZ47" s="150"/>
      <c r="CA47" s="151"/>
      <c r="CB47" s="77"/>
      <c r="CC47" s="78"/>
    </row>
    <row r="48" spans="1:81" s="6" customFormat="1" ht="15.75" thickBot="1" x14ac:dyDescent="0.3">
      <c r="A48" s="362"/>
      <c r="B48" s="277"/>
      <c r="C48" s="279"/>
      <c r="D48" s="279"/>
      <c r="E48" s="279"/>
      <c r="F48" s="281"/>
      <c r="G48" s="281"/>
      <c r="H48" s="283"/>
      <c r="I48" s="285"/>
      <c r="J48" s="302"/>
      <c r="K48" s="320"/>
      <c r="L48" s="291"/>
      <c r="M48" s="271"/>
      <c r="N48" s="271"/>
      <c r="O48" s="48" t="s">
        <v>27</v>
      </c>
      <c r="P48" s="79"/>
      <c r="Q48" s="80"/>
      <c r="R48" s="80"/>
      <c r="S48" s="81"/>
      <c r="T48" s="79"/>
      <c r="U48" s="80"/>
      <c r="V48" s="80"/>
      <c r="W48" s="81"/>
      <c r="X48" s="79"/>
      <c r="Y48" s="153"/>
      <c r="Z48" s="153"/>
      <c r="AA48" s="154"/>
      <c r="AB48" s="152"/>
      <c r="AC48" s="153"/>
      <c r="AD48" s="153"/>
      <c r="AE48" s="154"/>
      <c r="AF48" s="152"/>
      <c r="AG48" s="153"/>
      <c r="AH48" s="153"/>
      <c r="AI48" s="154"/>
      <c r="AJ48" s="152"/>
      <c r="AK48" s="153"/>
      <c r="AL48" s="153"/>
      <c r="AM48" s="154"/>
      <c r="AN48" s="152"/>
      <c r="AO48" s="153"/>
      <c r="AP48" s="153"/>
      <c r="AQ48" s="154"/>
      <c r="AR48" s="152"/>
      <c r="AS48" s="153"/>
      <c r="AT48" s="153"/>
      <c r="AU48" s="154"/>
      <c r="AV48" s="164"/>
      <c r="AW48" s="138"/>
      <c r="AX48" s="138"/>
      <c r="AY48" s="165"/>
      <c r="AZ48" s="164"/>
      <c r="BA48" s="138"/>
      <c r="BB48" s="138"/>
      <c r="BC48" s="165"/>
      <c r="BD48" s="164"/>
      <c r="BE48" s="138"/>
      <c r="BF48" s="138"/>
      <c r="BG48" s="165"/>
      <c r="BH48" s="164"/>
      <c r="BI48" s="138"/>
      <c r="BJ48" s="138"/>
      <c r="BK48" s="165"/>
      <c r="BL48" s="152"/>
      <c r="BM48" s="153"/>
      <c r="BN48" s="153"/>
      <c r="BO48" s="154"/>
      <c r="BP48" s="152"/>
      <c r="BQ48" s="153"/>
      <c r="BR48" s="153"/>
      <c r="BS48" s="154"/>
      <c r="BT48" s="152"/>
      <c r="BU48" s="153"/>
      <c r="BV48" s="153"/>
      <c r="BW48" s="154"/>
      <c r="BX48" s="152"/>
      <c r="BY48" s="153"/>
      <c r="BZ48" s="153"/>
      <c r="CA48" s="154"/>
      <c r="CB48" s="82"/>
      <c r="CC48" s="83"/>
    </row>
    <row r="49" spans="1:81" s="6" customFormat="1" x14ac:dyDescent="0.25">
      <c r="A49" s="361" t="s">
        <v>85</v>
      </c>
      <c r="B49" s="276" t="s">
        <v>33</v>
      </c>
      <c r="C49" s="278" t="s">
        <v>25</v>
      </c>
      <c r="D49" s="278" t="s">
        <v>119</v>
      </c>
      <c r="E49" s="278">
        <v>1</v>
      </c>
      <c r="F49" s="280">
        <f>G49</f>
        <v>735.38036</v>
      </c>
      <c r="G49" s="280">
        <f>735380.36/1000</f>
        <v>735.38036</v>
      </c>
      <c r="H49" s="282">
        <f>G49/G76</f>
        <v>2.5458023264974508E-3</v>
      </c>
      <c r="I49" s="284">
        <v>0</v>
      </c>
      <c r="J49" s="301">
        <f t="shared" si="14"/>
        <v>0</v>
      </c>
      <c r="K49" s="319">
        <v>45047</v>
      </c>
      <c r="L49" s="290">
        <v>45169</v>
      </c>
      <c r="M49" s="270"/>
      <c r="N49" s="270"/>
      <c r="O49" s="47" t="s">
        <v>26</v>
      </c>
      <c r="P49" s="74"/>
      <c r="Q49" s="75"/>
      <c r="R49" s="75"/>
      <c r="S49" s="76"/>
      <c r="T49" s="74"/>
      <c r="U49" s="75"/>
      <c r="V49" s="75"/>
      <c r="W49" s="76"/>
      <c r="X49" s="74"/>
      <c r="Y49" s="150"/>
      <c r="Z49" s="150"/>
      <c r="AA49" s="151"/>
      <c r="AB49" s="149"/>
      <c r="AC49" s="150"/>
      <c r="AD49" s="150"/>
      <c r="AE49" s="151"/>
      <c r="AF49" s="149"/>
      <c r="AG49" s="150"/>
      <c r="AH49" s="150"/>
      <c r="AI49" s="151"/>
      <c r="AJ49" s="149"/>
      <c r="AK49" s="150"/>
      <c r="AL49" s="150"/>
      <c r="AM49" s="151"/>
      <c r="AN49" s="149"/>
      <c r="AO49" s="150"/>
      <c r="AP49" s="150"/>
      <c r="AQ49" s="151"/>
      <c r="AR49" s="149"/>
      <c r="AS49" s="150"/>
      <c r="AT49" s="150"/>
      <c r="AU49" s="151"/>
      <c r="AV49" s="146">
        <v>2</v>
      </c>
      <c r="AW49" s="147">
        <v>2</v>
      </c>
      <c r="AX49" s="147">
        <v>2</v>
      </c>
      <c r="AY49" s="148">
        <v>2</v>
      </c>
      <c r="AZ49" s="146">
        <v>2</v>
      </c>
      <c r="BA49" s="147">
        <v>2</v>
      </c>
      <c r="BB49" s="147">
        <v>2</v>
      </c>
      <c r="BC49" s="148">
        <v>2</v>
      </c>
      <c r="BD49" s="146">
        <v>2</v>
      </c>
      <c r="BE49" s="147">
        <v>2</v>
      </c>
      <c r="BF49" s="147">
        <v>2</v>
      </c>
      <c r="BG49" s="148">
        <v>2</v>
      </c>
      <c r="BH49" s="146">
        <v>2</v>
      </c>
      <c r="BI49" s="147">
        <v>2</v>
      </c>
      <c r="BJ49" s="147">
        <v>2</v>
      </c>
      <c r="BK49" s="148">
        <v>2</v>
      </c>
      <c r="BL49" s="149"/>
      <c r="BM49" s="150"/>
      <c r="BN49" s="150"/>
      <c r="BO49" s="151"/>
      <c r="BP49" s="149"/>
      <c r="BQ49" s="150"/>
      <c r="BR49" s="150"/>
      <c r="BS49" s="151"/>
      <c r="BT49" s="149"/>
      <c r="BU49" s="150"/>
      <c r="BV49" s="150"/>
      <c r="BW49" s="151"/>
      <c r="BX49" s="149"/>
      <c r="BY49" s="150"/>
      <c r="BZ49" s="150"/>
      <c r="CA49" s="151"/>
      <c r="CB49" s="77"/>
      <c r="CC49" s="78"/>
    </row>
    <row r="50" spans="1:81" s="6" customFormat="1" ht="15.75" thickBot="1" x14ac:dyDescent="0.3">
      <c r="A50" s="362"/>
      <c r="B50" s="277"/>
      <c r="C50" s="279"/>
      <c r="D50" s="279"/>
      <c r="E50" s="279"/>
      <c r="F50" s="281"/>
      <c r="G50" s="281"/>
      <c r="H50" s="283"/>
      <c r="I50" s="285"/>
      <c r="J50" s="302"/>
      <c r="K50" s="320"/>
      <c r="L50" s="291"/>
      <c r="M50" s="271"/>
      <c r="N50" s="271"/>
      <c r="O50" s="48" t="s">
        <v>27</v>
      </c>
      <c r="P50" s="79"/>
      <c r="Q50" s="80"/>
      <c r="R50" s="80"/>
      <c r="S50" s="81"/>
      <c r="T50" s="79"/>
      <c r="U50" s="80"/>
      <c r="V50" s="80"/>
      <c r="W50" s="81"/>
      <c r="X50" s="79"/>
      <c r="Y50" s="153"/>
      <c r="Z50" s="153"/>
      <c r="AA50" s="154"/>
      <c r="AB50" s="152"/>
      <c r="AC50" s="153"/>
      <c r="AD50" s="153"/>
      <c r="AE50" s="154"/>
      <c r="AF50" s="152"/>
      <c r="AG50" s="153"/>
      <c r="AH50" s="153"/>
      <c r="AI50" s="154"/>
      <c r="AJ50" s="152"/>
      <c r="AK50" s="153"/>
      <c r="AL50" s="153"/>
      <c r="AM50" s="154"/>
      <c r="AN50" s="152"/>
      <c r="AO50" s="153"/>
      <c r="AP50" s="153"/>
      <c r="AQ50" s="154"/>
      <c r="AR50" s="152"/>
      <c r="AS50" s="153"/>
      <c r="AT50" s="153"/>
      <c r="AU50" s="154"/>
      <c r="AV50" s="164"/>
      <c r="AW50" s="138"/>
      <c r="AX50" s="138"/>
      <c r="AY50" s="165"/>
      <c r="AZ50" s="164"/>
      <c r="BA50" s="138"/>
      <c r="BB50" s="138"/>
      <c r="BC50" s="165"/>
      <c r="BD50" s="164"/>
      <c r="BE50" s="138"/>
      <c r="BF50" s="138"/>
      <c r="BG50" s="165"/>
      <c r="BH50" s="164"/>
      <c r="BI50" s="138"/>
      <c r="BJ50" s="138"/>
      <c r="BK50" s="165"/>
      <c r="BL50" s="152"/>
      <c r="BM50" s="153"/>
      <c r="BN50" s="153"/>
      <c r="BO50" s="154"/>
      <c r="BP50" s="152"/>
      <c r="BQ50" s="153"/>
      <c r="BR50" s="153"/>
      <c r="BS50" s="154"/>
      <c r="BT50" s="152"/>
      <c r="BU50" s="153"/>
      <c r="BV50" s="153"/>
      <c r="BW50" s="154"/>
      <c r="BX50" s="152"/>
      <c r="BY50" s="153"/>
      <c r="BZ50" s="153"/>
      <c r="CA50" s="154"/>
      <c r="CB50" s="82"/>
      <c r="CC50" s="83"/>
    </row>
    <row r="51" spans="1:81" s="6" customFormat="1" x14ac:dyDescent="0.25">
      <c r="A51" s="361" t="s">
        <v>86</v>
      </c>
      <c r="B51" s="317" t="s">
        <v>34</v>
      </c>
      <c r="C51" s="278" t="s">
        <v>25</v>
      </c>
      <c r="D51" s="278" t="s">
        <v>119</v>
      </c>
      <c r="E51" s="278">
        <v>1</v>
      </c>
      <c r="F51" s="280">
        <f>G51</f>
        <v>2735.0472999999997</v>
      </c>
      <c r="G51" s="280">
        <f>2735047.3/1000</f>
        <v>2735.0472999999997</v>
      </c>
      <c r="H51" s="282">
        <f>G51/G76</f>
        <v>9.4684195528699881E-3</v>
      </c>
      <c r="I51" s="284">
        <v>0</v>
      </c>
      <c r="J51" s="301">
        <f t="shared" si="14"/>
        <v>0</v>
      </c>
      <c r="K51" s="319">
        <v>45047</v>
      </c>
      <c r="L51" s="290">
        <v>45169</v>
      </c>
      <c r="M51" s="270"/>
      <c r="N51" s="270"/>
      <c r="O51" s="47" t="s">
        <v>26</v>
      </c>
      <c r="P51" s="74"/>
      <c r="Q51" s="75"/>
      <c r="R51" s="75"/>
      <c r="S51" s="76"/>
      <c r="T51" s="74"/>
      <c r="U51" s="75"/>
      <c r="V51" s="75"/>
      <c r="W51" s="76"/>
      <c r="X51" s="74"/>
      <c r="Y51" s="150"/>
      <c r="Z51" s="150"/>
      <c r="AA51" s="151"/>
      <c r="AB51" s="149"/>
      <c r="AC51" s="150"/>
      <c r="AD51" s="150"/>
      <c r="AE51" s="151"/>
      <c r="AF51" s="149"/>
      <c r="AG51" s="150"/>
      <c r="AH51" s="150"/>
      <c r="AI51" s="151"/>
      <c r="AJ51" s="149"/>
      <c r="AK51" s="150"/>
      <c r="AL51" s="150"/>
      <c r="AM51" s="151"/>
      <c r="AN51" s="149"/>
      <c r="AO51" s="150"/>
      <c r="AP51" s="150"/>
      <c r="AQ51" s="151"/>
      <c r="AR51" s="149"/>
      <c r="AS51" s="150"/>
      <c r="AT51" s="150"/>
      <c r="AU51" s="151"/>
      <c r="AV51" s="146">
        <v>4</v>
      </c>
      <c r="AW51" s="147">
        <v>4</v>
      </c>
      <c r="AX51" s="147">
        <v>4</v>
      </c>
      <c r="AY51" s="148">
        <v>4</v>
      </c>
      <c r="AZ51" s="146">
        <v>4</v>
      </c>
      <c r="BA51" s="147">
        <v>4</v>
      </c>
      <c r="BB51" s="147">
        <v>4</v>
      </c>
      <c r="BC51" s="148">
        <v>4</v>
      </c>
      <c r="BD51" s="146">
        <v>4</v>
      </c>
      <c r="BE51" s="147">
        <v>4</v>
      </c>
      <c r="BF51" s="147">
        <v>4</v>
      </c>
      <c r="BG51" s="148">
        <v>4</v>
      </c>
      <c r="BH51" s="146">
        <v>4</v>
      </c>
      <c r="BI51" s="147">
        <v>4</v>
      </c>
      <c r="BJ51" s="147">
        <v>4</v>
      </c>
      <c r="BK51" s="148">
        <v>4</v>
      </c>
      <c r="BL51" s="149"/>
      <c r="BM51" s="150"/>
      <c r="BN51" s="150"/>
      <c r="BO51" s="151"/>
      <c r="BP51" s="149"/>
      <c r="BQ51" s="150"/>
      <c r="BR51" s="150"/>
      <c r="BS51" s="151"/>
      <c r="BT51" s="149"/>
      <c r="BU51" s="150"/>
      <c r="BV51" s="150"/>
      <c r="BW51" s="151"/>
      <c r="BX51" s="149"/>
      <c r="BY51" s="150"/>
      <c r="BZ51" s="150"/>
      <c r="CA51" s="151"/>
      <c r="CB51" s="77"/>
      <c r="CC51" s="78"/>
    </row>
    <row r="52" spans="1:81" s="6" customFormat="1" ht="15.75" thickBot="1" x14ac:dyDescent="0.3">
      <c r="A52" s="362"/>
      <c r="B52" s="318"/>
      <c r="C52" s="279"/>
      <c r="D52" s="279"/>
      <c r="E52" s="279"/>
      <c r="F52" s="281"/>
      <c r="G52" s="281"/>
      <c r="H52" s="283"/>
      <c r="I52" s="285"/>
      <c r="J52" s="302"/>
      <c r="K52" s="320"/>
      <c r="L52" s="291"/>
      <c r="M52" s="271"/>
      <c r="N52" s="271"/>
      <c r="O52" s="48" t="s">
        <v>27</v>
      </c>
      <c r="P52" s="79"/>
      <c r="Q52" s="80"/>
      <c r="R52" s="80"/>
      <c r="S52" s="81"/>
      <c r="T52" s="79"/>
      <c r="U52" s="80"/>
      <c r="V52" s="80"/>
      <c r="W52" s="81"/>
      <c r="X52" s="79"/>
      <c r="Y52" s="153"/>
      <c r="Z52" s="153"/>
      <c r="AA52" s="154"/>
      <c r="AB52" s="152"/>
      <c r="AC52" s="153"/>
      <c r="AD52" s="153"/>
      <c r="AE52" s="154"/>
      <c r="AF52" s="152"/>
      <c r="AG52" s="153"/>
      <c r="AH52" s="153"/>
      <c r="AI52" s="154"/>
      <c r="AJ52" s="152"/>
      <c r="AK52" s="153"/>
      <c r="AL52" s="153"/>
      <c r="AM52" s="154"/>
      <c r="AN52" s="152"/>
      <c r="AO52" s="153"/>
      <c r="AP52" s="153"/>
      <c r="AQ52" s="154"/>
      <c r="AR52" s="152"/>
      <c r="AS52" s="153"/>
      <c r="AT52" s="153"/>
      <c r="AU52" s="154"/>
      <c r="AV52" s="152"/>
      <c r="AW52" s="153"/>
      <c r="AX52" s="153"/>
      <c r="AY52" s="154"/>
      <c r="AZ52" s="152"/>
      <c r="BA52" s="153"/>
      <c r="BB52" s="153"/>
      <c r="BC52" s="154"/>
      <c r="BD52" s="152"/>
      <c r="BE52" s="153"/>
      <c r="BF52" s="153"/>
      <c r="BG52" s="154"/>
      <c r="BH52" s="152"/>
      <c r="BI52" s="153"/>
      <c r="BJ52" s="153"/>
      <c r="BK52" s="154"/>
      <c r="BL52" s="152"/>
      <c r="BM52" s="153"/>
      <c r="BN52" s="153"/>
      <c r="BO52" s="154"/>
      <c r="BP52" s="152"/>
      <c r="BQ52" s="153"/>
      <c r="BR52" s="153"/>
      <c r="BS52" s="154"/>
      <c r="BT52" s="152"/>
      <c r="BU52" s="153"/>
      <c r="BV52" s="153"/>
      <c r="BW52" s="154"/>
      <c r="BX52" s="152"/>
      <c r="BY52" s="153"/>
      <c r="BZ52" s="153"/>
      <c r="CA52" s="154"/>
      <c r="CB52" s="82"/>
      <c r="CC52" s="83"/>
    </row>
    <row r="53" spans="1:81" s="6" customFormat="1" x14ac:dyDescent="0.25">
      <c r="A53" s="361" t="s">
        <v>87</v>
      </c>
      <c r="B53" s="276" t="s">
        <v>35</v>
      </c>
      <c r="C53" s="278" t="s">
        <v>25</v>
      </c>
      <c r="D53" s="278" t="s">
        <v>119</v>
      </c>
      <c r="E53" s="278">
        <v>1</v>
      </c>
      <c r="F53" s="280">
        <f>G53</f>
        <v>1642.6008899999999</v>
      </c>
      <c r="G53" s="280">
        <f>1642600.89/1000</f>
        <v>1642.6008899999999</v>
      </c>
      <c r="H53" s="282">
        <f>G53/G76</f>
        <v>5.6864955806934835E-3</v>
      </c>
      <c r="I53" s="284">
        <v>0</v>
      </c>
      <c r="J53" s="301">
        <f t="shared" si="14"/>
        <v>0</v>
      </c>
      <c r="K53" s="319">
        <v>45108</v>
      </c>
      <c r="L53" s="319">
        <v>45199</v>
      </c>
      <c r="M53" s="270"/>
      <c r="N53" s="270"/>
      <c r="O53" s="47" t="s">
        <v>26</v>
      </c>
      <c r="P53" s="74"/>
      <c r="Q53" s="75"/>
      <c r="R53" s="75"/>
      <c r="S53" s="76"/>
      <c r="T53" s="74"/>
      <c r="U53" s="75"/>
      <c r="V53" s="75"/>
      <c r="W53" s="76"/>
      <c r="X53" s="74"/>
      <c r="Y53" s="150"/>
      <c r="Z53" s="150"/>
      <c r="AA53" s="151"/>
      <c r="AB53" s="149"/>
      <c r="AC53" s="150"/>
      <c r="AD53" s="150"/>
      <c r="AE53" s="151"/>
      <c r="AF53" s="149"/>
      <c r="AG53" s="150"/>
      <c r="AH53" s="150"/>
      <c r="AI53" s="151"/>
      <c r="AJ53" s="149"/>
      <c r="AK53" s="150"/>
      <c r="AL53" s="150"/>
      <c r="AM53" s="151"/>
      <c r="AN53" s="149"/>
      <c r="AO53" s="150"/>
      <c r="AP53" s="150"/>
      <c r="AQ53" s="151"/>
      <c r="AR53" s="149"/>
      <c r="AS53" s="150"/>
      <c r="AT53" s="150"/>
      <c r="AU53" s="151"/>
      <c r="AV53" s="149"/>
      <c r="AW53" s="150"/>
      <c r="AX53" s="150"/>
      <c r="AY53" s="151"/>
      <c r="AZ53" s="149"/>
      <c r="BA53" s="150"/>
      <c r="BB53" s="150"/>
      <c r="BC53" s="151"/>
      <c r="BD53" s="146">
        <v>2</v>
      </c>
      <c r="BE53" s="147">
        <v>2</v>
      </c>
      <c r="BF53" s="147">
        <v>2</v>
      </c>
      <c r="BG53" s="148">
        <v>2</v>
      </c>
      <c r="BH53" s="146">
        <v>2</v>
      </c>
      <c r="BI53" s="147">
        <v>2</v>
      </c>
      <c r="BJ53" s="147">
        <v>2</v>
      </c>
      <c r="BK53" s="148">
        <v>2</v>
      </c>
      <c r="BL53" s="146">
        <v>2</v>
      </c>
      <c r="BM53" s="147">
        <v>2</v>
      </c>
      <c r="BN53" s="147">
        <v>2</v>
      </c>
      <c r="BO53" s="148">
        <v>2</v>
      </c>
      <c r="BP53" s="149"/>
      <c r="BQ53" s="150"/>
      <c r="BR53" s="150"/>
      <c r="BS53" s="151"/>
      <c r="BT53" s="149"/>
      <c r="BU53" s="150"/>
      <c r="BV53" s="150"/>
      <c r="BW53" s="151"/>
      <c r="BX53" s="149"/>
      <c r="BY53" s="150"/>
      <c r="BZ53" s="150"/>
      <c r="CA53" s="151"/>
      <c r="CB53" s="77"/>
      <c r="CC53" s="78"/>
    </row>
    <row r="54" spans="1:81" s="6" customFormat="1" ht="15.75" thickBot="1" x14ac:dyDescent="0.3">
      <c r="A54" s="362"/>
      <c r="B54" s="277"/>
      <c r="C54" s="279"/>
      <c r="D54" s="279"/>
      <c r="E54" s="279"/>
      <c r="F54" s="281"/>
      <c r="G54" s="281"/>
      <c r="H54" s="283"/>
      <c r="I54" s="285"/>
      <c r="J54" s="302"/>
      <c r="K54" s="320"/>
      <c r="L54" s="320"/>
      <c r="M54" s="271"/>
      <c r="N54" s="271"/>
      <c r="O54" s="48" t="s">
        <v>27</v>
      </c>
      <c r="P54" s="79"/>
      <c r="Q54" s="80"/>
      <c r="R54" s="80"/>
      <c r="S54" s="81"/>
      <c r="T54" s="79"/>
      <c r="U54" s="80"/>
      <c r="V54" s="80"/>
      <c r="W54" s="81"/>
      <c r="X54" s="79"/>
      <c r="Y54" s="153"/>
      <c r="Z54" s="153"/>
      <c r="AA54" s="154"/>
      <c r="AB54" s="152"/>
      <c r="AC54" s="153"/>
      <c r="AD54" s="153"/>
      <c r="AE54" s="154"/>
      <c r="AF54" s="152"/>
      <c r="AG54" s="153"/>
      <c r="AH54" s="153"/>
      <c r="AI54" s="154"/>
      <c r="AJ54" s="152"/>
      <c r="AK54" s="153"/>
      <c r="AL54" s="153"/>
      <c r="AM54" s="154"/>
      <c r="AN54" s="152"/>
      <c r="AO54" s="153"/>
      <c r="AP54" s="153"/>
      <c r="AQ54" s="154"/>
      <c r="AR54" s="152"/>
      <c r="AS54" s="153"/>
      <c r="AT54" s="153"/>
      <c r="AU54" s="154"/>
      <c r="AV54" s="152"/>
      <c r="AW54" s="153"/>
      <c r="AX54" s="153"/>
      <c r="AY54" s="154"/>
      <c r="AZ54" s="152"/>
      <c r="BA54" s="153"/>
      <c r="BB54" s="153"/>
      <c r="BC54" s="154"/>
      <c r="BD54" s="152"/>
      <c r="BE54" s="153"/>
      <c r="BF54" s="153"/>
      <c r="BG54" s="154"/>
      <c r="BH54" s="152"/>
      <c r="BI54" s="153"/>
      <c r="BJ54" s="153"/>
      <c r="BK54" s="154"/>
      <c r="BL54" s="152"/>
      <c r="BM54" s="153"/>
      <c r="BN54" s="153"/>
      <c r="BO54" s="154"/>
      <c r="BP54" s="152"/>
      <c r="BQ54" s="153"/>
      <c r="BR54" s="153"/>
      <c r="BS54" s="154"/>
      <c r="BT54" s="152"/>
      <c r="BU54" s="153"/>
      <c r="BV54" s="153"/>
      <c r="BW54" s="154"/>
      <c r="BX54" s="152"/>
      <c r="BY54" s="153"/>
      <c r="BZ54" s="153"/>
      <c r="CA54" s="154"/>
      <c r="CB54" s="82"/>
      <c r="CC54" s="83"/>
    </row>
    <row r="55" spans="1:81" s="6" customFormat="1" x14ac:dyDescent="0.25">
      <c r="A55" s="361" t="s">
        <v>88</v>
      </c>
      <c r="B55" s="359" t="s">
        <v>103</v>
      </c>
      <c r="C55" s="278" t="s">
        <v>25</v>
      </c>
      <c r="D55" s="278" t="s">
        <v>119</v>
      </c>
      <c r="E55" s="278">
        <v>1</v>
      </c>
      <c r="F55" s="280">
        <f>G55</f>
        <v>70.042630000000003</v>
      </c>
      <c r="G55" s="280">
        <f>70042.63/1000</f>
        <v>70.042630000000003</v>
      </c>
      <c r="H55" s="282">
        <f>G55/G76</f>
        <v>2.4247953862678646E-4</v>
      </c>
      <c r="I55" s="284">
        <v>0</v>
      </c>
      <c r="J55" s="301">
        <f t="shared" si="14"/>
        <v>0</v>
      </c>
      <c r="K55" s="319">
        <v>45108</v>
      </c>
      <c r="L55" s="290">
        <v>45169</v>
      </c>
      <c r="M55" s="270"/>
      <c r="N55" s="270"/>
      <c r="O55" s="47" t="s">
        <v>26</v>
      </c>
      <c r="P55" s="74"/>
      <c r="Q55" s="75"/>
      <c r="R55" s="75"/>
      <c r="S55" s="76"/>
      <c r="T55" s="74"/>
      <c r="U55" s="75"/>
      <c r="V55" s="75"/>
      <c r="W55" s="76"/>
      <c r="X55" s="74"/>
      <c r="Y55" s="150"/>
      <c r="Z55" s="150"/>
      <c r="AA55" s="151"/>
      <c r="AB55" s="149"/>
      <c r="AC55" s="150"/>
      <c r="AD55" s="150"/>
      <c r="AE55" s="151"/>
      <c r="AF55" s="149"/>
      <c r="AG55" s="150"/>
      <c r="AH55" s="150"/>
      <c r="AI55" s="151"/>
      <c r="AJ55" s="149"/>
      <c r="AK55" s="150"/>
      <c r="AL55" s="150"/>
      <c r="AM55" s="151"/>
      <c r="AN55" s="149"/>
      <c r="AO55" s="150"/>
      <c r="AP55" s="150"/>
      <c r="AQ55" s="151"/>
      <c r="AR55" s="149"/>
      <c r="AS55" s="150"/>
      <c r="AT55" s="150"/>
      <c r="AU55" s="151"/>
      <c r="AV55" s="149"/>
      <c r="AW55" s="150"/>
      <c r="AX55" s="150"/>
      <c r="AY55" s="151"/>
      <c r="AZ55" s="149"/>
      <c r="BA55" s="150"/>
      <c r="BB55" s="150"/>
      <c r="BC55" s="151"/>
      <c r="BD55" s="146">
        <v>2</v>
      </c>
      <c r="BE55" s="147">
        <v>2</v>
      </c>
      <c r="BF55" s="147">
        <v>2</v>
      </c>
      <c r="BG55" s="148">
        <v>2</v>
      </c>
      <c r="BH55" s="146">
        <v>2</v>
      </c>
      <c r="BI55" s="147">
        <v>2</v>
      </c>
      <c r="BJ55" s="147">
        <v>2</v>
      </c>
      <c r="BK55" s="148">
        <v>2</v>
      </c>
      <c r="BL55" s="149"/>
      <c r="BM55" s="150"/>
      <c r="BN55" s="150"/>
      <c r="BO55" s="151"/>
      <c r="BP55" s="149"/>
      <c r="BQ55" s="150"/>
      <c r="BR55" s="150"/>
      <c r="BS55" s="151"/>
      <c r="BT55" s="149"/>
      <c r="BU55" s="150"/>
      <c r="BV55" s="150"/>
      <c r="BW55" s="151"/>
      <c r="BX55" s="149"/>
      <c r="BY55" s="150"/>
      <c r="BZ55" s="150"/>
      <c r="CA55" s="151"/>
      <c r="CB55" s="77"/>
      <c r="CC55" s="78"/>
    </row>
    <row r="56" spans="1:81" s="6" customFormat="1" ht="15.75" thickBot="1" x14ac:dyDescent="0.3">
      <c r="A56" s="362"/>
      <c r="B56" s="360"/>
      <c r="C56" s="279"/>
      <c r="D56" s="279"/>
      <c r="E56" s="279"/>
      <c r="F56" s="281"/>
      <c r="G56" s="281"/>
      <c r="H56" s="283"/>
      <c r="I56" s="285"/>
      <c r="J56" s="302"/>
      <c r="K56" s="320"/>
      <c r="L56" s="291"/>
      <c r="M56" s="271"/>
      <c r="N56" s="271"/>
      <c r="O56" s="48" t="s">
        <v>27</v>
      </c>
      <c r="P56" s="79"/>
      <c r="Q56" s="80"/>
      <c r="R56" s="80"/>
      <c r="S56" s="81"/>
      <c r="T56" s="79"/>
      <c r="U56" s="80"/>
      <c r="V56" s="80"/>
      <c r="W56" s="81"/>
      <c r="X56" s="79"/>
      <c r="Y56" s="153"/>
      <c r="Z56" s="153"/>
      <c r="AA56" s="154"/>
      <c r="AB56" s="152"/>
      <c r="AC56" s="153"/>
      <c r="AD56" s="153"/>
      <c r="AE56" s="154"/>
      <c r="AF56" s="152"/>
      <c r="AG56" s="153"/>
      <c r="AH56" s="153"/>
      <c r="AI56" s="154"/>
      <c r="AJ56" s="152"/>
      <c r="AK56" s="153"/>
      <c r="AL56" s="153"/>
      <c r="AM56" s="154"/>
      <c r="AN56" s="152"/>
      <c r="AO56" s="153"/>
      <c r="AP56" s="153"/>
      <c r="AQ56" s="154"/>
      <c r="AR56" s="152"/>
      <c r="AS56" s="153"/>
      <c r="AT56" s="153"/>
      <c r="AU56" s="154"/>
      <c r="AV56" s="152"/>
      <c r="AW56" s="153"/>
      <c r="AX56" s="153"/>
      <c r="AY56" s="154"/>
      <c r="AZ56" s="152"/>
      <c r="BA56" s="153"/>
      <c r="BB56" s="153"/>
      <c r="BC56" s="154"/>
      <c r="BD56" s="152"/>
      <c r="BE56" s="153"/>
      <c r="BF56" s="153"/>
      <c r="BG56" s="154"/>
      <c r="BH56" s="152"/>
      <c r="BI56" s="153"/>
      <c r="BJ56" s="153"/>
      <c r="BK56" s="154"/>
      <c r="BL56" s="152"/>
      <c r="BM56" s="153"/>
      <c r="BN56" s="153"/>
      <c r="BO56" s="154"/>
      <c r="BP56" s="152"/>
      <c r="BQ56" s="153"/>
      <c r="BR56" s="153"/>
      <c r="BS56" s="154"/>
      <c r="BT56" s="152"/>
      <c r="BU56" s="153"/>
      <c r="BV56" s="153"/>
      <c r="BW56" s="154"/>
      <c r="BX56" s="152"/>
      <c r="BY56" s="153"/>
      <c r="BZ56" s="153"/>
      <c r="CA56" s="154"/>
      <c r="CB56" s="82"/>
      <c r="CC56" s="83"/>
    </row>
    <row r="57" spans="1:81" s="16" customFormat="1" ht="17.25" customHeight="1" thickBot="1" x14ac:dyDescent="0.25">
      <c r="A57" s="97" t="s">
        <v>17</v>
      </c>
      <c r="B57" s="91" t="s">
        <v>14</v>
      </c>
      <c r="C57" s="59"/>
      <c r="D57" s="59"/>
      <c r="E57" s="59"/>
      <c r="F57" s="144"/>
      <c r="G57" s="144"/>
      <c r="H57" s="59"/>
      <c r="I57" s="59"/>
      <c r="J57" s="59"/>
      <c r="K57" s="70">
        <v>45139</v>
      </c>
      <c r="L57" s="70">
        <v>45245</v>
      </c>
      <c r="M57" s="91"/>
      <c r="N57" s="91"/>
      <c r="O57" s="51"/>
      <c r="P57" s="92"/>
      <c r="Q57" s="93"/>
      <c r="R57" s="93"/>
      <c r="S57" s="94"/>
      <c r="T57" s="92"/>
      <c r="U57" s="93"/>
      <c r="V57" s="93"/>
      <c r="W57" s="94"/>
      <c r="X57" s="92"/>
      <c r="Y57" s="162"/>
      <c r="Z57" s="162"/>
      <c r="AA57" s="163"/>
      <c r="AB57" s="161"/>
      <c r="AC57" s="162"/>
      <c r="AD57" s="162"/>
      <c r="AE57" s="163"/>
      <c r="AF57" s="161"/>
      <c r="AG57" s="162"/>
      <c r="AH57" s="162"/>
      <c r="AI57" s="163"/>
      <c r="AJ57" s="161"/>
      <c r="AK57" s="162"/>
      <c r="AL57" s="162"/>
      <c r="AM57" s="163"/>
      <c r="AN57" s="161"/>
      <c r="AO57" s="162"/>
      <c r="AP57" s="162"/>
      <c r="AQ57" s="163"/>
      <c r="AR57" s="161"/>
      <c r="AS57" s="162"/>
      <c r="AT57" s="162"/>
      <c r="AU57" s="163"/>
      <c r="AV57" s="161"/>
      <c r="AW57" s="162"/>
      <c r="AX57" s="162"/>
      <c r="AY57" s="163"/>
      <c r="AZ57" s="161"/>
      <c r="BA57" s="162"/>
      <c r="BB57" s="162"/>
      <c r="BC57" s="163"/>
      <c r="BD57" s="161"/>
      <c r="BE57" s="162"/>
      <c r="BF57" s="162"/>
      <c r="BG57" s="163"/>
      <c r="BH57" s="161"/>
      <c r="BI57" s="162"/>
      <c r="BJ57" s="162"/>
      <c r="BK57" s="163"/>
      <c r="BL57" s="161"/>
      <c r="BM57" s="162"/>
      <c r="BN57" s="162"/>
      <c r="BO57" s="163"/>
      <c r="BP57" s="161"/>
      <c r="BQ57" s="162"/>
      <c r="BR57" s="162"/>
      <c r="BS57" s="163"/>
      <c r="BT57" s="161"/>
      <c r="BU57" s="162"/>
      <c r="BV57" s="162"/>
      <c r="BW57" s="163"/>
      <c r="BX57" s="161"/>
      <c r="BY57" s="162"/>
      <c r="BZ57" s="162"/>
      <c r="CA57" s="163"/>
      <c r="CB57" s="95"/>
      <c r="CC57" s="96"/>
    </row>
    <row r="58" spans="1:81" s="6" customFormat="1" ht="17.25" customHeight="1" x14ac:dyDescent="0.25">
      <c r="A58" s="361" t="s">
        <v>89</v>
      </c>
      <c r="B58" s="276" t="s">
        <v>37</v>
      </c>
      <c r="C58" s="278" t="s">
        <v>25</v>
      </c>
      <c r="D58" s="278" t="s">
        <v>119</v>
      </c>
      <c r="E58" s="278">
        <v>1</v>
      </c>
      <c r="F58" s="280">
        <f>G58</f>
        <v>1331.4828</v>
      </c>
      <c r="G58" s="280">
        <f>1331482.8/1000</f>
        <v>1331.4828</v>
      </c>
      <c r="H58" s="282">
        <f>G58/G76</f>
        <v>4.6094404940748481E-3</v>
      </c>
      <c r="I58" s="284">
        <v>0</v>
      </c>
      <c r="J58" s="301">
        <f t="shared" ref="J58:J62" si="15">I58*H58</f>
        <v>0</v>
      </c>
      <c r="K58" s="319">
        <v>45139</v>
      </c>
      <c r="L58" s="319">
        <v>45184</v>
      </c>
      <c r="M58" s="270"/>
      <c r="N58" s="270"/>
      <c r="O58" s="47" t="s">
        <v>26</v>
      </c>
      <c r="P58" s="74"/>
      <c r="Q58" s="75"/>
      <c r="R58" s="75"/>
      <c r="S58" s="76"/>
      <c r="T58" s="74"/>
      <c r="U58" s="75"/>
      <c r="V58" s="75"/>
      <c r="W58" s="76"/>
      <c r="X58" s="74"/>
      <c r="Y58" s="150"/>
      <c r="Z58" s="150"/>
      <c r="AA58" s="151"/>
      <c r="AB58" s="149"/>
      <c r="AC58" s="150"/>
      <c r="AD58" s="150"/>
      <c r="AE58" s="151"/>
      <c r="AF58" s="149"/>
      <c r="AG58" s="150"/>
      <c r="AH58" s="150"/>
      <c r="AI58" s="151"/>
      <c r="AJ58" s="149"/>
      <c r="AK58" s="150"/>
      <c r="AL58" s="150"/>
      <c r="AM58" s="151"/>
      <c r="AN58" s="149"/>
      <c r="AO58" s="150"/>
      <c r="AP58" s="150"/>
      <c r="AQ58" s="151"/>
      <c r="AR58" s="149"/>
      <c r="AS58" s="150"/>
      <c r="AT58" s="150"/>
      <c r="AU58" s="151"/>
      <c r="AV58" s="149"/>
      <c r="AW58" s="150"/>
      <c r="AX58" s="150"/>
      <c r="AY58" s="151"/>
      <c r="AZ58" s="149"/>
      <c r="BA58" s="150"/>
      <c r="BB58" s="150"/>
      <c r="BC58" s="151"/>
      <c r="BD58" s="149"/>
      <c r="BE58" s="150"/>
      <c r="BF58" s="150"/>
      <c r="BG58" s="151"/>
      <c r="BH58" s="146">
        <v>2</v>
      </c>
      <c r="BI58" s="147">
        <v>2</v>
      </c>
      <c r="BJ58" s="147">
        <v>2</v>
      </c>
      <c r="BK58" s="148">
        <v>2</v>
      </c>
      <c r="BL58" s="146">
        <v>2</v>
      </c>
      <c r="BM58" s="147">
        <v>2</v>
      </c>
      <c r="BN58" s="150"/>
      <c r="BO58" s="151"/>
      <c r="BP58" s="149"/>
      <c r="BQ58" s="150"/>
      <c r="BR58" s="150"/>
      <c r="BS58" s="151"/>
      <c r="BT58" s="149"/>
      <c r="BU58" s="150"/>
      <c r="BV58" s="150"/>
      <c r="BW58" s="151"/>
      <c r="BX58" s="149"/>
      <c r="BY58" s="150"/>
      <c r="BZ58" s="150"/>
      <c r="CA58" s="151"/>
      <c r="CB58" s="77"/>
      <c r="CC58" s="78"/>
    </row>
    <row r="59" spans="1:81" s="6" customFormat="1" ht="15.75" thickBot="1" x14ac:dyDescent="0.3">
      <c r="A59" s="362"/>
      <c r="B59" s="277"/>
      <c r="C59" s="279"/>
      <c r="D59" s="279"/>
      <c r="E59" s="279"/>
      <c r="F59" s="281"/>
      <c r="G59" s="281"/>
      <c r="H59" s="283"/>
      <c r="I59" s="285"/>
      <c r="J59" s="302"/>
      <c r="K59" s="320"/>
      <c r="L59" s="320"/>
      <c r="M59" s="271"/>
      <c r="N59" s="271"/>
      <c r="O59" s="48" t="s">
        <v>27</v>
      </c>
      <c r="P59" s="79"/>
      <c r="Q59" s="80"/>
      <c r="R59" s="80"/>
      <c r="S59" s="81"/>
      <c r="T59" s="79"/>
      <c r="U59" s="80"/>
      <c r="V59" s="80"/>
      <c r="W59" s="81"/>
      <c r="X59" s="79"/>
      <c r="Y59" s="153"/>
      <c r="Z59" s="153"/>
      <c r="AA59" s="154"/>
      <c r="AB59" s="152"/>
      <c r="AC59" s="153"/>
      <c r="AD59" s="153"/>
      <c r="AE59" s="154"/>
      <c r="AF59" s="152"/>
      <c r="AG59" s="153"/>
      <c r="AH59" s="153"/>
      <c r="AI59" s="154"/>
      <c r="AJ59" s="152"/>
      <c r="AK59" s="153"/>
      <c r="AL59" s="153"/>
      <c r="AM59" s="154"/>
      <c r="AN59" s="152"/>
      <c r="AO59" s="153"/>
      <c r="AP59" s="153"/>
      <c r="AQ59" s="154"/>
      <c r="AR59" s="152"/>
      <c r="AS59" s="153"/>
      <c r="AT59" s="153"/>
      <c r="AU59" s="154"/>
      <c r="AV59" s="152"/>
      <c r="AW59" s="153"/>
      <c r="AX59" s="153"/>
      <c r="AY59" s="154"/>
      <c r="AZ59" s="152"/>
      <c r="BA59" s="153"/>
      <c r="BB59" s="153"/>
      <c r="BC59" s="154"/>
      <c r="BD59" s="152"/>
      <c r="BE59" s="153"/>
      <c r="BF59" s="153"/>
      <c r="BG59" s="154"/>
      <c r="BH59" s="152"/>
      <c r="BI59" s="153"/>
      <c r="BJ59" s="153"/>
      <c r="BK59" s="154"/>
      <c r="BL59" s="152"/>
      <c r="BM59" s="153"/>
      <c r="BN59" s="153"/>
      <c r="BO59" s="154"/>
      <c r="BP59" s="152"/>
      <c r="BQ59" s="153"/>
      <c r="BR59" s="153"/>
      <c r="BS59" s="154"/>
      <c r="BT59" s="152"/>
      <c r="BU59" s="153"/>
      <c r="BV59" s="153"/>
      <c r="BW59" s="154"/>
      <c r="BX59" s="152"/>
      <c r="BY59" s="153"/>
      <c r="BZ59" s="153"/>
      <c r="CA59" s="154"/>
      <c r="CB59" s="82"/>
      <c r="CC59" s="83"/>
    </row>
    <row r="60" spans="1:81" s="6" customFormat="1" x14ac:dyDescent="0.25">
      <c r="A60" s="361" t="s">
        <v>90</v>
      </c>
      <c r="B60" s="276" t="s">
        <v>112</v>
      </c>
      <c r="C60" s="278" t="s">
        <v>25</v>
      </c>
      <c r="D60" s="278" t="s">
        <v>119</v>
      </c>
      <c r="E60" s="278">
        <v>1</v>
      </c>
      <c r="F60" s="280">
        <f>G60</f>
        <v>16688.47406</v>
      </c>
      <c r="G60" s="280">
        <f>(15776080.74+137300.95+599073.07+176019.3)/1000</f>
        <v>16688.47406</v>
      </c>
      <c r="H60" s="282">
        <f>G60/G76</f>
        <v>5.7773580039097536E-2</v>
      </c>
      <c r="I60" s="284">
        <v>0</v>
      </c>
      <c r="J60" s="301">
        <f t="shared" si="15"/>
        <v>0</v>
      </c>
      <c r="K60" s="319">
        <v>45139</v>
      </c>
      <c r="L60" s="319">
        <v>45199</v>
      </c>
      <c r="M60" s="270"/>
      <c r="N60" s="270"/>
      <c r="O60" s="47" t="s">
        <v>26</v>
      </c>
      <c r="P60" s="74"/>
      <c r="Q60" s="75"/>
      <c r="R60" s="75"/>
      <c r="S60" s="76"/>
      <c r="T60" s="74"/>
      <c r="U60" s="75"/>
      <c r="V60" s="75"/>
      <c r="W60" s="76"/>
      <c r="X60" s="74"/>
      <c r="Y60" s="150"/>
      <c r="Z60" s="150"/>
      <c r="AA60" s="151"/>
      <c r="AB60" s="149"/>
      <c r="AC60" s="150"/>
      <c r="AD60" s="150"/>
      <c r="AE60" s="151"/>
      <c r="AF60" s="149"/>
      <c r="AG60" s="150"/>
      <c r="AH60" s="150"/>
      <c r="AI60" s="151"/>
      <c r="AJ60" s="149"/>
      <c r="AK60" s="150"/>
      <c r="AL60" s="150"/>
      <c r="AM60" s="151"/>
      <c r="AN60" s="149"/>
      <c r="AO60" s="150"/>
      <c r="AP60" s="150"/>
      <c r="AQ60" s="151"/>
      <c r="AR60" s="149"/>
      <c r="AS60" s="150"/>
      <c r="AT60" s="150"/>
      <c r="AU60" s="151"/>
      <c r="AV60" s="149"/>
      <c r="AW60" s="150"/>
      <c r="AX60" s="150"/>
      <c r="AY60" s="151"/>
      <c r="AZ60" s="149"/>
      <c r="BA60" s="150"/>
      <c r="BB60" s="150"/>
      <c r="BC60" s="151"/>
      <c r="BD60" s="149"/>
      <c r="BE60" s="150"/>
      <c r="BF60" s="150"/>
      <c r="BG60" s="151"/>
      <c r="BH60" s="146">
        <v>3</v>
      </c>
      <c r="BI60" s="147">
        <v>3</v>
      </c>
      <c r="BJ60" s="147">
        <v>3</v>
      </c>
      <c r="BK60" s="148">
        <v>3</v>
      </c>
      <c r="BL60" s="146">
        <v>3</v>
      </c>
      <c r="BM60" s="147">
        <v>3</v>
      </c>
      <c r="BN60" s="147">
        <v>3</v>
      </c>
      <c r="BO60" s="148">
        <v>3</v>
      </c>
      <c r="BP60" s="149"/>
      <c r="BQ60" s="150"/>
      <c r="BR60" s="150"/>
      <c r="BS60" s="151"/>
      <c r="BT60" s="149"/>
      <c r="BU60" s="150"/>
      <c r="BV60" s="150"/>
      <c r="BW60" s="151"/>
      <c r="BX60" s="149"/>
      <c r="BY60" s="150"/>
      <c r="BZ60" s="150"/>
      <c r="CA60" s="151"/>
      <c r="CB60" s="77"/>
      <c r="CC60" s="78"/>
    </row>
    <row r="61" spans="1:81" s="6" customFormat="1" ht="33.75" customHeight="1" thickBot="1" x14ac:dyDescent="0.3">
      <c r="A61" s="362"/>
      <c r="B61" s="277"/>
      <c r="C61" s="279"/>
      <c r="D61" s="279"/>
      <c r="E61" s="279"/>
      <c r="F61" s="281"/>
      <c r="G61" s="281"/>
      <c r="H61" s="283"/>
      <c r="I61" s="285"/>
      <c r="J61" s="302"/>
      <c r="K61" s="320"/>
      <c r="L61" s="320"/>
      <c r="M61" s="271"/>
      <c r="N61" s="271"/>
      <c r="O61" s="48" t="s">
        <v>27</v>
      </c>
      <c r="P61" s="79"/>
      <c r="Q61" s="80"/>
      <c r="R61" s="80"/>
      <c r="S61" s="81"/>
      <c r="T61" s="79"/>
      <c r="U61" s="80"/>
      <c r="V61" s="80"/>
      <c r="W61" s="81"/>
      <c r="X61" s="79"/>
      <c r="Y61" s="153"/>
      <c r="Z61" s="153"/>
      <c r="AA61" s="154"/>
      <c r="AB61" s="152"/>
      <c r="AC61" s="153"/>
      <c r="AD61" s="153"/>
      <c r="AE61" s="154"/>
      <c r="AF61" s="152"/>
      <c r="AG61" s="153"/>
      <c r="AH61" s="153"/>
      <c r="AI61" s="154"/>
      <c r="AJ61" s="152"/>
      <c r="AK61" s="153"/>
      <c r="AL61" s="153"/>
      <c r="AM61" s="154"/>
      <c r="AN61" s="152"/>
      <c r="AO61" s="153"/>
      <c r="AP61" s="153"/>
      <c r="AQ61" s="154"/>
      <c r="AR61" s="152"/>
      <c r="AS61" s="153"/>
      <c r="AT61" s="153"/>
      <c r="AU61" s="154"/>
      <c r="AV61" s="152"/>
      <c r="AW61" s="153"/>
      <c r="AX61" s="153"/>
      <c r="AY61" s="154"/>
      <c r="AZ61" s="152"/>
      <c r="BA61" s="153"/>
      <c r="BB61" s="153"/>
      <c r="BC61" s="154"/>
      <c r="BD61" s="152"/>
      <c r="BE61" s="153"/>
      <c r="BF61" s="153"/>
      <c r="BG61" s="154"/>
      <c r="BH61" s="152"/>
      <c r="BI61" s="153"/>
      <c r="BJ61" s="153"/>
      <c r="BK61" s="154"/>
      <c r="BL61" s="152"/>
      <c r="BM61" s="153"/>
      <c r="BN61" s="153"/>
      <c r="BO61" s="154"/>
      <c r="BP61" s="152"/>
      <c r="BQ61" s="153"/>
      <c r="BR61" s="153"/>
      <c r="BS61" s="154"/>
      <c r="BT61" s="152"/>
      <c r="BU61" s="153"/>
      <c r="BV61" s="153"/>
      <c r="BW61" s="154"/>
      <c r="BX61" s="152"/>
      <c r="BY61" s="153"/>
      <c r="BZ61" s="153"/>
      <c r="CA61" s="154"/>
      <c r="CB61" s="82"/>
      <c r="CC61" s="83"/>
    </row>
    <row r="62" spans="1:81" s="6" customFormat="1" x14ac:dyDescent="0.25">
      <c r="A62" s="361" t="s">
        <v>91</v>
      </c>
      <c r="B62" s="276" t="s">
        <v>62</v>
      </c>
      <c r="C62" s="278" t="s">
        <v>25</v>
      </c>
      <c r="D62" s="278" t="s">
        <v>119</v>
      </c>
      <c r="E62" s="278">
        <v>1</v>
      </c>
      <c r="F62" s="280">
        <f>G62</f>
        <v>1643.5953300000001</v>
      </c>
      <c r="G62" s="280">
        <f>1643595.33/1000</f>
        <v>1643.5953300000001</v>
      </c>
      <c r="H62" s="282">
        <f>G62/G76</f>
        <v>5.689938217733127E-3</v>
      </c>
      <c r="I62" s="284">
        <v>0</v>
      </c>
      <c r="J62" s="301">
        <f t="shared" si="15"/>
        <v>0</v>
      </c>
      <c r="K62" s="319">
        <v>45139</v>
      </c>
      <c r="L62" s="319">
        <v>45199</v>
      </c>
      <c r="M62" s="270"/>
      <c r="N62" s="270"/>
      <c r="O62" s="47" t="s">
        <v>26</v>
      </c>
      <c r="P62" s="74"/>
      <c r="Q62" s="75"/>
      <c r="R62" s="75"/>
      <c r="S62" s="76"/>
      <c r="T62" s="74"/>
      <c r="U62" s="75"/>
      <c r="V62" s="75"/>
      <c r="W62" s="76"/>
      <c r="X62" s="74"/>
      <c r="Y62" s="150"/>
      <c r="Z62" s="150"/>
      <c r="AA62" s="151"/>
      <c r="AB62" s="149"/>
      <c r="AC62" s="150"/>
      <c r="AD62" s="150"/>
      <c r="AE62" s="151"/>
      <c r="AF62" s="149"/>
      <c r="AG62" s="150"/>
      <c r="AH62" s="150"/>
      <c r="AI62" s="151"/>
      <c r="AJ62" s="149"/>
      <c r="AK62" s="150"/>
      <c r="AL62" s="150"/>
      <c r="AM62" s="151"/>
      <c r="AN62" s="149"/>
      <c r="AO62" s="150"/>
      <c r="AP62" s="150"/>
      <c r="AQ62" s="151"/>
      <c r="AR62" s="149"/>
      <c r="AS62" s="150"/>
      <c r="AT62" s="150"/>
      <c r="AU62" s="151"/>
      <c r="AV62" s="149"/>
      <c r="AW62" s="150"/>
      <c r="AX62" s="150"/>
      <c r="AY62" s="151"/>
      <c r="AZ62" s="149"/>
      <c r="BA62" s="150"/>
      <c r="BB62" s="150"/>
      <c r="BC62" s="151"/>
      <c r="BD62" s="149"/>
      <c r="BE62" s="150"/>
      <c r="BF62" s="150"/>
      <c r="BG62" s="151"/>
      <c r="BH62" s="146">
        <v>2</v>
      </c>
      <c r="BI62" s="147">
        <v>2</v>
      </c>
      <c r="BJ62" s="147">
        <v>2</v>
      </c>
      <c r="BK62" s="148">
        <v>2</v>
      </c>
      <c r="BL62" s="146">
        <v>2</v>
      </c>
      <c r="BM62" s="147">
        <v>2</v>
      </c>
      <c r="BN62" s="147">
        <v>2</v>
      </c>
      <c r="BO62" s="148">
        <v>2</v>
      </c>
      <c r="BP62" s="149"/>
      <c r="BQ62" s="150"/>
      <c r="BR62" s="150"/>
      <c r="BS62" s="151"/>
      <c r="BT62" s="149"/>
      <c r="BU62" s="150"/>
      <c r="BV62" s="150"/>
      <c r="BW62" s="151"/>
      <c r="BX62" s="149"/>
      <c r="BY62" s="150"/>
      <c r="BZ62" s="150"/>
      <c r="CA62" s="151"/>
      <c r="CB62" s="77"/>
      <c r="CC62" s="78"/>
    </row>
    <row r="63" spans="1:81" s="6" customFormat="1" ht="15.75" thickBot="1" x14ac:dyDescent="0.3">
      <c r="A63" s="362"/>
      <c r="B63" s="277"/>
      <c r="C63" s="279"/>
      <c r="D63" s="279"/>
      <c r="E63" s="279"/>
      <c r="F63" s="281"/>
      <c r="G63" s="281"/>
      <c r="H63" s="283"/>
      <c r="I63" s="285"/>
      <c r="J63" s="302"/>
      <c r="K63" s="320"/>
      <c r="L63" s="320"/>
      <c r="M63" s="271"/>
      <c r="N63" s="271"/>
      <c r="O63" s="48" t="s">
        <v>27</v>
      </c>
      <c r="P63" s="79"/>
      <c r="Q63" s="80"/>
      <c r="R63" s="80"/>
      <c r="S63" s="81"/>
      <c r="T63" s="79"/>
      <c r="U63" s="80"/>
      <c r="V63" s="80"/>
      <c r="W63" s="81"/>
      <c r="X63" s="79"/>
      <c r="Y63" s="153"/>
      <c r="Z63" s="153"/>
      <c r="AA63" s="154"/>
      <c r="AB63" s="152"/>
      <c r="AC63" s="153"/>
      <c r="AD63" s="153"/>
      <c r="AE63" s="154"/>
      <c r="AF63" s="152"/>
      <c r="AG63" s="153"/>
      <c r="AH63" s="153"/>
      <c r="AI63" s="154"/>
      <c r="AJ63" s="152"/>
      <c r="AK63" s="153"/>
      <c r="AL63" s="153"/>
      <c r="AM63" s="154"/>
      <c r="AN63" s="152"/>
      <c r="AO63" s="153"/>
      <c r="AP63" s="153"/>
      <c r="AQ63" s="154"/>
      <c r="AR63" s="152"/>
      <c r="AS63" s="153"/>
      <c r="AT63" s="153"/>
      <c r="AU63" s="154"/>
      <c r="AV63" s="152"/>
      <c r="AW63" s="153"/>
      <c r="AX63" s="153"/>
      <c r="AY63" s="154"/>
      <c r="AZ63" s="152"/>
      <c r="BA63" s="153"/>
      <c r="BB63" s="153"/>
      <c r="BC63" s="154"/>
      <c r="BD63" s="152"/>
      <c r="BE63" s="153"/>
      <c r="BF63" s="153"/>
      <c r="BG63" s="154"/>
      <c r="BH63" s="152"/>
      <c r="BI63" s="153"/>
      <c r="BJ63" s="153"/>
      <c r="BK63" s="154"/>
      <c r="BL63" s="152"/>
      <c r="BM63" s="153"/>
      <c r="BN63" s="153"/>
      <c r="BO63" s="154"/>
      <c r="BP63" s="152"/>
      <c r="BQ63" s="153"/>
      <c r="BR63" s="153"/>
      <c r="BS63" s="154"/>
      <c r="BT63" s="152"/>
      <c r="BU63" s="153"/>
      <c r="BV63" s="153"/>
      <c r="BW63" s="154"/>
      <c r="BX63" s="152"/>
      <c r="BY63" s="153"/>
      <c r="BZ63" s="153"/>
      <c r="CA63" s="154"/>
      <c r="CB63" s="82"/>
      <c r="CC63" s="83"/>
    </row>
    <row r="64" spans="1:81" s="202" customFormat="1" x14ac:dyDescent="0.25">
      <c r="A64" s="274" t="s">
        <v>126</v>
      </c>
      <c r="B64" s="276" t="s">
        <v>127</v>
      </c>
      <c r="C64" s="278" t="s">
        <v>25</v>
      </c>
      <c r="D64" s="278" t="s">
        <v>119</v>
      </c>
      <c r="E64" s="278">
        <v>1</v>
      </c>
      <c r="F64" s="280">
        <f>G64</f>
        <v>2897.6019999999999</v>
      </c>
      <c r="G64" s="280">
        <v>2897.6019999999999</v>
      </c>
      <c r="H64" s="282">
        <f>G64/G76</f>
        <v>1.0031165250134864E-2</v>
      </c>
      <c r="I64" s="284">
        <v>0</v>
      </c>
      <c r="J64" s="301">
        <f t="shared" ref="J64" si="16">I64*H64</f>
        <v>0</v>
      </c>
      <c r="K64" s="268">
        <v>45170</v>
      </c>
      <c r="L64" s="268">
        <v>45245</v>
      </c>
      <c r="M64" s="270"/>
      <c r="N64" s="272"/>
      <c r="O64" s="47" t="s">
        <v>26</v>
      </c>
      <c r="P64" s="197"/>
      <c r="Q64" s="198"/>
      <c r="R64" s="198"/>
      <c r="S64" s="199"/>
      <c r="T64" s="197"/>
      <c r="U64" s="198"/>
      <c r="V64" s="198"/>
      <c r="W64" s="199"/>
      <c r="X64" s="197"/>
      <c r="Y64" s="198"/>
      <c r="Z64" s="198"/>
      <c r="AA64" s="199"/>
      <c r="AB64" s="197"/>
      <c r="AC64" s="198"/>
      <c r="AD64" s="198"/>
      <c r="AE64" s="199"/>
      <c r="AF64" s="197"/>
      <c r="AG64" s="198"/>
      <c r="AH64" s="198"/>
      <c r="AI64" s="199"/>
      <c r="AJ64" s="197"/>
      <c r="AK64" s="198"/>
      <c r="AL64" s="198"/>
      <c r="AM64" s="199"/>
      <c r="AN64" s="197"/>
      <c r="AO64" s="198"/>
      <c r="AP64" s="198"/>
      <c r="AQ64" s="199"/>
      <c r="AR64" s="197"/>
      <c r="AS64" s="198"/>
      <c r="AT64" s="198"/>
      <c r="AU64" s="199"/>
      <c r="AV64" s="197"/>
      <c r="AW64" s="198"/>
      <c r="AX64" s="198"/>
      <c r="AY64" s="199"/>
      <c r="AZ64" s="197"/>
      <c r="BA64" s="198"/>
      <c r="BB64" s="198"/>
      <c r="BC64" s="199"/>
      <c r="BD64" s="197"/>
      <c r="BE64" s="198"/>
      <c r="BF64" s="198"/>
      <c r="BG64" s="199"/>
      <c r="BH64" s="197"/>
      <c r="BI64" s="198"/>
      <c r="BJ64" s="198"/>
      <c r="BK64" s="199"/>
      <c r="BL64" s="146">
        <v>2</v>
      </c>
      <c r="BM64" s="147">
        <v>2</v>
      </c>
      <c r="BN64" s="147">
        <v>2</v>
      </c>
      <c r="BO64" s="148">
        <v>2</v>
      </c>
      <c r="BP64" s="146">
        <v>2</v>
      </c>
      <c r="BQ64" s="147">
        <v>2</v>
      </c>
      <c r="BR64" s="147">
        <v>2</v>
      </c>
      <c r="BS64" s="148">
        <v>2</v>
      </c>
      <c r="BT64" s="146">
        <v>2</v>
      </c>
      <c r="BU64" s="147">
        <v>2</v>
      </c>
      <c r="BV64" s="198"/>
      <c r="BW64" s="199"/>
      <c r="BX64" s="197"/>
      <c r="BY64" s="198"/>
      <c r="BZ64" s="198"/>
      <c r="CA64" s="199"/>
      <c r="CB64" s="200"/>
      <c r="CC64" s="201"/>
    </row>
    <row r="65" spans="1:81" s="202" customFormat="1" ht="15.75" thickBot="1" x14ac:dyDescent="0.3">
      <c r="A65" s="275"/>
      <c r="B65" s="277"/>
      <c r="C65" s="279"/>
      <c r="D65" s="279"/>
      <c r="E65" s="279"/>
      <c r="F65" s="281"/>
      <c r="G65" s="281"/>
      <c r="H65" s="283"/>
      <c r="I65" s="285"/>
      <c r="J65" s="302"/>
      <c r="K65" s="269"/>
      <c r="L65" s="269"/>
      <c r="M65" s="271"/>
      <c r="N65" s="273"/>
      <c r="O65" s="48" t="s">
        <v>27</v>
      </c>
      <c r="P65" s="203"/>
      <c r="Q65" s="204"/>
      <c r="R65" s="204"/>
      <c r="S65" s="205"/>
      <c r="T65" s="203"/>
      <c r="U65" s="204"/>
      <c r="V65" s="204"/>
      <c r="W65" s="205"/>
      <c r="X65" s="203"/>
      <c r="Y65" s="204"/>
      <c r="Z65" s="204"/>
      <c r="AA65" s="205"/>
      <c r="AB65" s="203"/>
      <c r="AC65" s="204"/>
      <c r="AD65" s="204"/>
      <c r="AE65" s="205"/>
      <c r="AF65" s="203"/>
      <c r="AG65" s="204"/>
      <c r="AH65" s="204"/>
      <c r="AI65" s="205"/>
      <c r="AJ65" s="203"/>
      <c r="AK65" s="204"/>
      <c r="AL65" s="204"/>
      <c r="AM65" s="205"/>
      <c r="AN65" s="203"/>
      <c r="AO65" s="204"/>
      <c r="AP65" s="204"/>
      <c r="AQ65" s="205"/>
      <c r="AR65" s="203"/>
      <c r="AS65" s="204"/>
      <c r="AT65" s="204"/>
      <c r="AU65" s="205"/>
      <c r="AV65" s="203"/>
      <c r="AW65" s="204"/>
      <c r="AX65" s="204"/>
      <c r="AY65" s="205"/>
      <c r="AZ65" s="203"/>
      <c r="BA65" s="204"/>
      <c r="BB65" s="204"/>
      <c r="BC65" s="205"/>
      <c r="BD65" s="203"/>
      <c r="BE65" s="204"/>
      <c r="BF65" s="204"/>
      <c r="BG65" s="205"/>
      <c r="BH65" s="203"/>
      <c r="BI65" s="204"/>
      <c r="BJ65" s="204"/>
      <c r="BK65" s="205"/>
      <c r="BL65" s="203"/>
      <c r="BM65" s="204"/>
      <c r="BN65" s="204"/>
      <c r="BO65" s="205"/>
      <c r="BP65" s="203"/>
      <c r="BQ65" s="204"/>
      <c r="BR65" s="204"/>
      <c r="BS65" s="205"/>
      <c r="BT65" s="203"/>
      <c r="BU65" s="204"/>
      <c r="BV65" s="204"/>
      <c r="BW65" s="205"/>
      <c r="BX65" s="203"/>
      <c r="BY65" s="204"/>
      <c r="BZ65" s="204"/>
      <c r="CA65" s="205"/>
      <c r="CB65" s="206"/>
      <c r="CC65" s="207"/>
    </row>
    <row r="66" spans="1:81" s="17" customFormat="1" ht="15.75" thickBot="1" x14ac:dyDescent="0.3">
      <c r="A66" s="98">
        <v>2</v>
      </c>
      <c r="B66" s="99" t="s">
        <v>20</v>
      </c>
      <c r="C66" s="100"/>
      <c r="D66" s="100"/>
      <c r="E66" s="100"/>
      <c r="F66" s="145"/>
      <c r="G66" s="145"/>
      <c r="H66" s="100"/>
      <c r="I66" s="100"/>
      <c r="J66" s="100"/>
      <c r="K66" s="101">
        <v>45231</v>
      </c>
      <c r="L66" s="101">
        <v>45260</v>
      </c>
      <c r="M66" s="100"/>
      <c r="N66" s="100"/>
      <c r="O66" s="102"/>
      <c r="P66" s="103"/>
      <c r="Q66" s="104"/>
      <c r="R66" s="104"/>
      <c r="S66" s="105"/>
      <c r="T66" s="103"/>
      <c r="U66" s="104"/>
      <c r="V66" s="104"/>
      <c r="W66" s="105"/>
      <c r="X66" s="103"/>
      <c r="Y66" s="166"/>
      <c r="Z66" s="166"/>
      <c r="AA66" s="167"/>
      <c r="AB66" s="168"/>
      <c r="AC66" s="166"/>
      <c r="AD66" s="166"/>
      <c r="AE66" s="167"/>
      <c r="AF66" s="168"/>
      <c r="AG66" s="166"/>
      <c r="AH66" s="166"/>
      <c r="AI66" s="167"/>
      <c r="AJ66" s="168"/>
      <c r="AK66" s="166"/>
      <c r="AL66" s="166"/>
      <c r="AM66" s="167"/>
      <c r="AN66" s="168"/>
      <c r="AO66" s="166"/>
      <c r="AP66" s="166"/>
      <c r="AQ66" s="167"/>
      <c r="AR66" s="168"/>
      <c r="AS66" s="166"/>
      <c r="AT66" s="166"/>
      <c r="AU66" s="167"/>
      <c r="AV66" s="168"/>
      <c r="AW66" s="166"/>
      <c r="AX66" s="166"/>
      <c r="AY66" s="167"/>
      <c r="AZ66" s="168"/>
      <c r="BA66" s="166"/>
      <c r="BB66" s="166"/>
      <c r="BC66" s="167"/>
      <c r="BD66" s="168"/>
      <c r="BE66" s="166"/>
      <c r="BF66" s="166"/>
      <c r="BG66" s="167"/>
      <c r="BH66" s="168"/>
      <c r="BI66" s="166"/>
      <c r="BJ66" s="166"/>
      <c r="BK66" s="167"/>
      <c r="BL66" s="168"/>
      <c r="BM66" s="166"/>
      <c r="BN66" s="166"/>
      <c r="BO66" s="167"/>
      <c r="BP66" s="168"/>
      <c r="BQ66" s="166"/>
      <c r="BR66" s="166"/>
      <c r="BS66" s="167"/>
      <c r="BT66" s="168"/>
      <c r="BU66" s="166"/>
      <c r="BV66" s="166"/>
      <c r="BW66" s="167"/>
      <c r="BX66" s="168"/>
      <c r="BY66" s="166"/>
      <c r="BZ66" s="166"/>
      <c r="CA66" s="167"/>
      <c r="CB66" s="106"/>
      <c r="CC66" s="107"/>
    </row>
    <row r="67" spans="1:81" s="17" customFormat="1" ht="15" customHeight="1" x14ac:dyDescent="0.25">
      <c r="A67" s="286" t="s">
        <v>13</v>
      </c>
      <c r="B67" s="288" t="s">
        <v>36</v>
      </c>
      <c r="C67" s="298" t="s">
        <v>25</v>
      </c>
      <c r="D67" s="278" t="s">
        <v>119</v>
      </c>
      <c r="E67" s="278">
        <v>1</v>
      </c>
      <c r="F67" s="280">
        <f>G67</f>
        <v>704.14433999999994</v>
      </c>
      <c r="G67" s="280">
        <f>(456786+247358.34)/1000</f>
        <v>704.14433999999994</v>
      </c>
      <c r="H67" s="282">
        <f>G67/G76</f>
        <v>2.437666813622833E-3</v>
      </c>
      <c r="I67" s="284">
        <v>0</v>
      </c>
      <c r="J67" s="301">
        <f t="shared" ref="J67" si="17">I67*H67</f>
        <v>0</v>
      </c>
      <c r="K67" s="319">
        <v>45231</v>
      </c>
      <c r="L67" s="319">
        <v>45260</v>
      </c>
      <c r="M67" s="347"/>
      <c r="N67" s="347"/>
      <c r="O67" s="52" t="s">
        <v>26</v>
      </c>
      <c r="P67" s="74"/>
      <c r="Q67" s="75"/>
      <c r="R67" s="75"/>
      <c r="S67" s="76"/>
      <c r="T67" s="74"/>
      <c r="U67" s="75"/>
      <c r="V67" s="75"/>
      <c r="W67" s="76"/>
      <c r="X67" s="74"/>
      <c r="Y67" s="150"/>
      <c r="Z67" s="150"/>
      <c r="AA67" s="151"/>
      <c r="AB67" s="149"/>
      <c r="AC67" s="150"/>
      <c r="AD67" s="150"/>
      <c r="AE67" s="151"/>
      <c r="AF67" s="149"/>
      <c r="AG67" s="150"/>
      <c r="AH67" s="150"/>
      <c r="AI67" s="151"/>
      <c r="AJ67" s="149"/>
      <c r="AK67" s="150"/>
      <c r="AL67" s="150"/>
      <c r="AM67" s="151"/>
      <c r="AN67" s="149"/>
      <c r="AO67" s="150"/>
      <c r="AP67" s="150"/>
      <c r="AQ67" s="151"/>
      <c r="AR67" s="149"/>
      <c r="AS67" s="150"/>
      <c r="AT67" s="150"/>
      <c r="AU67" s="151"/>
      <c r="AV67" s="149"/>
      <c r="AW67" s="150"/>
      <c r="AX67" s="150"/>
      <c r="AY67" s="151"/>
      <c r="AZ67" s="149"/>
      <c r="BA67" s="150"/>
      <c r="BB67" s="150"/>
      <c r="BC67" s="151"/>
      <c r="BD67" s="149"/>
      <c r="BE67" s="150"/>
      <c r="BF67" s="150"/>
      <c r="BG67" s="151"/>
      <c r="BH67" s="149"/>
      <c r="BI67" s="150"/>
      <c r="BJ67" s="150"/>
      <c r="BK67" s="151"/>
      <c r="BL67" s="149"/>
      <c r="BM67" s="150"/>
      <c r="BN67" s="150"/>
      <c r="BO67" s="151"/>
      <c r="BP67" s="149"/>
      <c r="BQ67" s="150"/>
      <c r="BR67" s="150"/>
      <c r="BS67" s="151"/>
      <c r="BT67" s="146">
        <v>4</v>
      </c>
      <c r="BU67" s="147">
        <v>4</v>
      </c>
      <c r="BV67" s="147">
        <v>4</v>
      </c>
      <c r="BW67" s="148">
        <v>4</v>
      </c>
      <c r="BX67" s="149"/>
      <c r="BY67" s="150"/>
      <c r="BZ67" s="150"/>
      <c r="CA67" s="151"/>
      <c r="CB67" s="77"/>
      <c r="CC67" s="108"/>
    </row>
    <row r="68" spans="1:81" s="17" customFormat="1" ht="15.75" thickBot="1" x14ac:dyDescent="0.3">
      <c r="A68" s="287"/>
      <c r="B68" s="289"/>
      <c r="C68" s="299"/>
      <c r="D68" s="279"/>
      <c r="E68" s="279"/>
      <c r="F68" s="281"/>
      <c r="G68" s="281"/>
      <c r="H68" s="283"/>
      <c r="I68" s="285"/>
      <c r="J68" s="302"/>
      <c r="K68" s="346"/>
      <c r="L68" s="320"/>
      <c r="M68" s="348"/>
      <c r="N68" s="348"/>
      <c r="O68" s="53" t="s">
        <v>27</v>
      </c>
      <c r="P68" s="79"/>
      <c r="Q68" s="80"/>
      <c r="R68" s="80"/>
      <c r="S68" s="81"/>
      <c r="T68" s="79"/>
      <c r="U68" s="80"/>
      <c r="V68" s="80"/>
      <c r="W68" s="81"/>
      <c r="X68" s="79"/>
      <c r="Y68" s="153"/>
      <c r="Z68" s="153"/>
      <c r="AA68" s="154"/>
      <c r="AB68" s="152"/>
      <c r="AC68" s="153"/>
      <c r="AD68" s="153"/>
      <c r="AE68" s="154"/>
      <c r="AF68" s="152"/>
      <c r="AG68" s="153"/>
      <c r="AH68" s="153"/>
      <c r="AI68" s="154"/>
      <c r="AJ68" s="152"/>
      <c r="AK68" s="153"/>
      <c r="AL68" s="153"/>
      <c r="AM68" s="154"/>
      <c r="AN68" s="152"/>
      <c r="AO68" s="153"/>
      <c r="AP68" s="153"/>
      <c r="AQ68" s="154"/>
      <c r="AR68" s="152"/>
      <c r="AS68" s="153"/>
      <c r="AT68" s="153"/>
      <c r="AU68" s="154"/>
      <c r="AV68" s="152"/>
      <c r="AW68" s="153"/>
      <c r="AX68" s="153"/>
      <c r="AY68" s="154"/>
      <c r="AZ68" s="152"/>
      <c r="BA68" s="153"/>
      <c r="BB68" s="153"/>
      <c r="BC68" s="154"/>
      <c r="BD68" s="152"/>
      <c r="BE68" s="153"/>
      <c r="BF68" s="153"/>
      <c r="BG68" s="154"/>
      <c r="BH68" s="152"/>
      <c r="BI68" s="153"/>
      <c r="BJ68" s="153"/>
      <c r="BK68" s="154"/>
      <c r="BL68" s="152"/>
      <c r="BM68" s="153"/>
      <c r="BN68" s="153"/>
      <c r="BO68" s="154"/>
      <c r="BP68" s="152"/>
      <c r="BQ68" s="153"/>
      <c r="BR68" s="153"/>
      <c r="BS68" s="154"/>
      <c r="BT68" s="152"/>
      <c r="BU68" s="153"/>
      <c r="BV68" s="153"/>
      <c r="BW68" s="154"/>
      <c r="BX68" s="152"/>
      <c r="BY68" s="153"/>
      <c r="BZ68" s="153"/>
      <c r="CA68" s="154"/>
      <c r="CB68" s="82"/>
      <c r="CC68" s="109"/>
    </row>
    <row r="69" spans="1:81" s="17" customFormat="1" x14ac:dyDescent="0.25">
      <c r="A69" s="300" t="s">
        <v>92</v>
      </c>
      <c r="B69" s="288" t="s">
        <v>18</v>
      </c>
      <c r="C69" s="298" t="s">
        <v>25</v>
      </c>
      <c r="D69" s="72"/>
      <c r="E69" s="72"/>
      <c r="F69" s="278"/>
      <c r="G69" s="278"/>
      <c r="H69" s="72"/>
      <c r="I69" s="72"/>
      <c r="J69" s="72"/>
      <c r="K69" s="319">
        <v>45245</v>
      </c>
      <c r="L69" s="319">
        <v>45260</v>
      </c>
      <c r="M69" s="347"/>
      <c r="N69" s="347"/>
      <c r="O69" s="66" t="s">
        <v>26</v>
      </c>
      <c r="P69" s="74"/>
      <c r="Q69" s="75"/>
      <c r="R69" s="75"/>
      <c r="S69" s="76"/>
      <c r="T69" s="74"/>
      <c r="U69" s="75"/>
      <c r="V69" s="75"/>
      <c r="W69" s="76"/>
      <c r="X69" s="74"/>
      <c r="Y69" s="150"/>
      <c r="Z69" s="150"/>
      <c r="AA69" s="151"/>
      <c r="AB69" s="149"/>
      <c r="AC69" s="150"/>
      <c r="AD69" s="150"/>
      <c r="AE69" s="151"/>
      <c r="AF69" s="149"/>
      <c r="AG69" s="150"/>
      <c r="AH69" s="150"/>
      <c r="AI69" s="151"/>
      <c r="AJ69" s="149"/>
      <c r="AK69" s="150"/>
      <c r="AL69" s="150"/>
      <c r="AM69" s="151"/>
      <c r="AN69" s="149"/>
      <c r="AO69" s="150"/>
      <c r="AP69" s="150"/>
      <c r="AQ69" s="151"/>
      <c r="AR69" s="149"/>
      <c r="AS69" s="150"/>
      <c r="AT69" s="150"/>
      <c r="AU69" s="151"/>
      <c r="AV69" s="149"/>
      <c r="AW69" s="150"/>
      <c r="AX69" s="150"/>
      <c r="AY69" s="151"/>
      <c r="AZ69" s="149"/>
      <c r="BA69" s="150"/>
      <c r="BB69" s="150"/>
      <c r="BC69" s="151"/>
      <c r="BD69" s="149"/>
      <c r="BE69" s="150"/>
      <c r="BF69" s="150"/>
      <c r="BG69" s="151"/>
      <c r="BH69" s="149"/>
      <c r="BI69" s="150"/>
      <c r="BJ69" s="150"/>
      <c r="BK69" s="151"/>
      <c r="BL69" s="149"/>
      <c r="BM69" s="150"/>
      <c r="BN69" s="150"/>
      <c r="BO69" s="151"/>
      <c r="BP69" s="149"/>
      <c r="BQ69" s="150"/>
      <c r="BR69" s="150"/>
      <c r="BS69" s="151"/>
      <c r="BT69" s="149"/>
      <c r="BU69" s="150"/>
      <c r="BV69" s="147">
        <v>10</v>
      </c>
      <c r="BW69" s="148">
        <v>10</v>
      </c>
      <c r="BX69" s="150"/>
      <c r="BY69" s="150"/>
      <c r="BZ69" s="150"/>
      <c r="CA69" s="151"/>
      <c r="CB69" s="86"/>
      <c r="CC69" s="110"/>
    </row>
    <row r="70" spans="1:81" s="67" customFormat="1" ht="15.75" thickBot="1" x14ac:dyDescent="0.3">
      <c r="A70" s="287"/>
      <c r="B70" s="289"/>
      <c r="C70" s="299"/>
      <c r="D70" s="73"/>
      <c r="E70" s="73"/>
      <c r="F70" s="279"/>
      <c r="G70" s="279"/>
      <c r="H70" s="73"/>
      <c r="I70" s="73"/>
      <c r="J70" s="73"/>
      <c r="K70" s="346"/>
      <c r="L70" s="320"/>
      <c r="M70" s="348"/>
      <c r="N70" s="348"/>
      <c r="O70" s="53" t="s">
        <v>27</v>
      </c>
      <c r="P70" s="79"/>
      <c r="Q70" s="80"/>
      <c r="R70" s="80"/>
      <c r="S70" s="81"/>
      <c r="T70" s="79"/>
      <c r="U70" s="80"/>
      <c r="V70" s="80"/>
      <c r="W70" s="81"/>
      <c r="X70" s="79"/>
      <c r="Y70" s="153"/>
      <c r="Z70" s="153"/>
      <c r="AA70" s="154"/>
      <c r="AB70" s="152"/>
      <c r="AC70" s="153"/>
      <c r="AD70" s="153"/>
      <c r="AE70" s="154"/>
      <c r="AF70" s="152"/>
      <c r="AG70" s="153"/>
      <c r="AH70" s="153"/>
      <c r="AI70" s="154"/>
      <c r="AJ70" s="152"/>
      <c r="AK70" s="153"/>
      <c r="AL70" s="153"/>
      <c r="AM70" s="154"/>
      <c r="AN70" s="152"/>
      <c r="AO70" s="153"/>
      <c r="AP70" s="153"/>
      <c r="AQ70" s="154"/>
      <c r="AR70" s="152"/>
      <c r="AS70" s="153"/>
      <c r="AT70" s="153"/>
      <c r="AU70" s="154"/>
      <c r="AV70" s="152"/>
      <c r="AW70" s="153"/>
      <c r="AX70" s="153"/>
      <c r="AY70" s="154"/>
      <c r="AZ70" s="152"/>
      <c r="BA70" s="153"/>
      <c r="BB70" s="153"/>
      <c r="BC70" s="154"/>
      <c r="BD70" s="152"/>
      <c r="BE70" s="153"/>
      <c r="BF70" s="153"/>
      <c r="BG70" s="154"/>
      <c r="BH70" s="152"/>
      <c r="BI70" s="153"/>
      <c r="BJ70" s="153"/>
      <c r="BK70" s="154"/>
      <c r="BL70" s="152"/>
      <c r="BM70" s="153"/>
      <c r="BN70" s="153"/>
      <c r="BO70" s="154"/>
      <c r="BP70" s="152"/>
      <c r="BQ70" s="153"/>
      <c r="BR70" s="153"/>
      <c r="BS70" s="154"/>
      <c r="BT70" s="152"/>
      <c r="BU70" s="153"/>
      <c r="BV70" s="153"/>
      <c r="BW70" s="154"/>
      <c r="BX70" s="152"/>
      <c r="BY70" s="153"/>
      <c r="BZ70" s="153"/>
      <c r="CA70" s="154"/>
      <c r="CB70" s="82"/>
      <c r="CC70" s="109"/>
    </row>
    <row r="71" spans="1:81" s="67" customFormat="1" ht="15.75" thickBot="1" x14ac:dyDescent="0.3">
      <c r="A71" s="295"/>
      <c r="B71" s="293" t="s">
        <v>122</v>
      </c>
      <c r="C71" s="298"/>
      <c r="D71" s="142"/>
      <c r="E71" s="142"/>
      <c r="F71" s="278"/>
      <c r="G71" s="278"/>
      <c r="H71" s="142"/>
      <c r="I71" s="284"/>
      <c r="J71" s="142"/>
      <c r="K71" s="290">
        <v>45184</v>
      </c>
      <c r="L71" s="290">
        <v>45199</v>
      </c>
      <c r="M71" s="293"/>
      <c r="N71" s="293"/>
      <c r="O71" s="66" t="s">
        <v>26</v>
      </c>
      <c r="P71" s="74"/>
      <c r="Q71" s="75"/>
      <c r="R71" s="75"/>
      <c r="S71" s="76"/>
      <c r="T71" s="74"/>
      <c r="U71" s="75"/>
      <c r="V71" s="75"/>
      <c r="W71" s="76"/>
      <c r="X71" s="74"/>
      <c r="Y71" s="150"/>
      <c r="Z71" s="150"/>
      <c r="AA71" s="151"/>
      <c r="AB71" s="149"/>
      <c r="AC71" s="150"/>
      <c r="AD71" s="150"/>
      <c r="AE71" s="151"/>
      <c r="AF71" s="149"/>
      <c r="AG71" s="150"/>
      <c r="AH71" s="150"/>
      <c r="AI71" s="151"/>
      <c r="AJ71" s="149"/>
      <c r="AK71" s="150"/>
      <c r="AL71" s="150"/>
      <c r="AM71" s="151"/>
      <c r="AN71" s="149"/>
      <c r="AO71" s="150"/>
      <c r="AP71" s="150"/>
      <c r="AQ71" s="151"/>
      <c r="AR71" s="149"/>
      <c r="AS71" s="150"/>
      <c r="AT71" s="150"/>
      <c r="AU71" s="151"/>
      <c r="AV71" s="149"/>
      <c r="AW71" s="150"/>
      <c r="AX71" s="150"/>
      <c r="AY71" s="151"/>
      <c r="AZ71" s="149"/>
      <c r="BA71" s="150"/>
      <c r="BB71" s="150"/>
      <c r="BC71" s="151"/>
      <c r="BD71" s="149"/>
      <c r="BE71" s="150"/>
      <c r="BF71" s="150"/>
      <c r="BG71" s="151"/>
      <c r="BH71" s="149"/>
      <c r="BI71" s="150"/>
      <c r="BJ71" s="150"/>
      <c r="BK71" s="151"/>
      <c r="BL71" s="149"/>
      <c r="BM71" s="150"/>
      <c r="BN71" s="150"/>
      <c r="BO71" s="151"/>
      <c r="BP71" s="149"/>
      <c r="BQ71" s="150"/>
      <c r="BR71" s="150"/>
      <c r="BS71" s="151"/>
      <c r="BT71" s="149"/>
      <c r="BU71" s="150"/>
      <c r="BV71" s="150"/>
      <c r="BW71" s="151"/>
      <c r="BX71" s="150"/>
      <c r="BY71" s="150"/>
      <c r="BZ71" s="150"/>
      <c r="CA71" s="151"/>
      <c r="CB71" s="88"/>
      <c r="CC71" s="183"/>
    </row>
    <row r="72" spans="1:81" s="67" customFormat="1" ht="15.75" thickBot="1" x14ac:dyDescent="0.3">
      <c r="A72" s="296"/>
      <c r="B72" s="297" t="s">
        <v>123</v>
      </c>
      <c r="C72" s="299"/>
      <c r="D72" s="143"/>
      <c r="E72" s="143"/>
      <c r="F72" s="279"/>
      <c r="G72" s="279"/>
      <c r="H72" s="143"/>
      <c r="I72" s="285"/>
      <c r="J72" s="143"/>
      <c r="K72" s="291"/>
      <c r="L72" s="292"/>
      <c r="M72" s="294"/>
      <c r="N72" s="294"/>
      <c r="O72" s="53" t="s">
        <v>27</v>
      </c>
      <c r="P72" s="79"/>
      <c r="Q72" s="80"/>
      <c r="R72" s="80"/>
      <c r="S72" s="81"/>
      <c r="T72" s="79"/>
      <c r="U72" s="80"/>
      <c r="V72" s="80"/>
      <c r="W72" s="81"/>
      <c r="X72" s="79"/>
      <c r="Y72" s="153"/>
      <c r="Z72" s="153"/>
      <c r="AA72" s="154"/>
      <c r="AB72" s="152"/>
      <c r="AC72" s="153"/>
      <c r="AD72" s="153"/>
      <c r="AE72" s="154"/>
      <c r="AF72" s="152"/>
      <c r="AG72" s="153"/>
      <c r="AH72" s="153"/>
      <c r="AI72" s="154"/>
      <c r="AJ72" s="152"/>
      <c r="AK72" s="153"/>
      <c r="AL72" s="153"/>
      <c r="AM72" s="154"/>
      <c r="AN72" s="152"/>
      <c r="AO72" s="153"/>
      <c r="AP72" s="153"/>
      <c r="AQ72" s="154"/>
      <c r="AR72" s="152"/>
      <c r="AS72" s="153"/>
      <c r="AT72" s="153"/>
      <c r="AU72" s="154"/>
      <c r="AV72" s="152"/>
      <c r="AW72" s="153"/>
      <c r="AX72" s="153"/>
      <c r="AY72" s="154"/>
      <c r="AZ72" s="152"/>
      <c r="BA72" s="153"/>
      <c r="BB72" s="153"/>
      <c r="BC72" s="154"/>
      <c r="BD72" s="152"/>
      <c r="BE72" s="153"/>
      <c r="BF72" s="153"/>
      <c r="BG72" s="154"/>
      <c r="BH72" s="152"/>
      <c r="BI72" s="153"/>
      <c r="BJ72" s="153"/>
      <c r="BK72" s="154"/>
      <c r="BL72" s="152"/>
      <c r="BM72" s="153"/>
      <c r="BN72" s="153"/>
      <c r="BO72" s="154"/>
      <c r="BP72" s="152"/>
      <c r="BQ72" s="153"/>
      <c r="BR72" s="153"/>
      <c r="BS72" s="154"/>
      <c r="BT72" s="152"/>
      <c r="BU72" s="153"/>
      <c r="BV72" s="153"/>
      <c r="BW72" s="154"/>
      <c r="BX72" s="152"/>
      <c r="BY72" s="153"/>
      <c r="BZ72" s="153"/>
      <c r="CA72" s="154"/>
      <c r="CB72" s="88"/>
      <c r="CC72" s="183"/>
    </row>
    <row r="73" spans="1:81" s="67" customFormat="1" ht="15.75" thickBot="1" x14ac:dyDescent="0.3">
      <c r="A73" s="295"/>
      <c r="B73" s="293" t="s">
        <v>123</v>
      </c>
      <c r="C73" s="298"/>
      <c r="D73" s="142"/>
      <c r="E73" s="142"/>
      <c r="F73" s="278"/>
      <c r="G73" s="278"/>
      <c r="H73" s="142"/>
      <c r="I73" s="284"/>
      <c r="J73" s="142"/>
      <c r="K73" s="290">
        <v>45184</v>
      </c>
      <c r="L73" s="290">
        <v>45199</v>
      </c>
      <c r="M73" s="293"/>
      <c r="N73" s="293"/>
      <c r="O73" s="66" t="s">
        <v>26</v>
      </c>
      <c r="P73" s="74"/>
      <c r="Q73" s="75"/>
      <c r="R73" s="75"/>
      <c r="S73" s="76"/>
      <c r="T73" s="74"/>
      <c r="U73" s="75"/>
      <c r="V73" s="75"/>
      <c r="W73" s="76"/>
      <c r="X73" s="74"/>
      <c r="Y73" s="150"/>
      <c r="Z73" s="150"/>
      <c r="AA73" s="151"/>
      <c r="AB73" s="149"/>
      <c r="AC73" s="150"/>
      <c r="AD73" s="150"/>
      <c r="AE73" s="151"/>
      <c r="AF73" s="149"/>
      <c r="AG73" s="150"/>
      <c r="AH73" s="150"/>
      <c r="AI73" s="151"/>
      <c r="AJ73" s="149"/>
      <c r="AK73" s="150"/>
      <c r="AL73" s="150"/>
      <c r="AM73" s="151"/>
      <c r="AN73" s="149"/>
      <c r="AO73" s="150"/>
      <c r="AP73" s="150"/>
      <c r="AQ73" s="151"/>
      <c r="AR73" s="149"/>
      <c r="AS73" s="150"/>
      <c r="AT73" s="150"/>
      <c r="AU73" s="151"/>
      <c r="AV73" s="149"/>
      <c r="AW73" s="150"/>
      <c r="AX73" s="150"/>
      <c r="AY73" s="151"/>
      <c r="AZ73" s="149"/>
      <c r="BA73" s="150"/>
      <c r="BB73" s="150"/>
      <c r="BC73" s="151"/>
      <c r="BD73" s="149"/>
      <c r="BE73" s="150"/>
      <c r="BF73" s="150"/>
      <c r="BG73" s="151"/>
      <c r="BH73" s="149"/>
      <c r="BI73" s="150"/>
      <c r="BJ73" s="150"/>
      <c r="BK73" s="151"/>
      <c r="BL73" s="149"/>
      <c r="BM73" s="150"/>
      <c r="BN73" s="150"/>
      <c r="BO73" s="151"/>
      <c r="BP73" s="149"/>
      <c r="BQ73" s="150"/>
      <c r="BR73" s="150"/>
      <c r="BS73" s="151"/>
      <c r="BT73" s="149"/>
      <c r="BU73" s="150"/>
      <c r="BV73" s="150"/>
      <c r="BW73" s="151"/>
      <c r="BX73" s="150"/>
      <c r="BY73" s="150"/>
      <c r="BZ73" s="150"/>
      <c r="CA73" s="151"/>
      <c r="CB73" s="88"/>
      <c r="CC73" s="183"/>
    </row>
    <row r="74" spans="1:81" s="67" customFormat="1" ht="15.75" thickBot="1" x14ac:dyDescent="0.3">
      <c r="A74" s="296"/>
      <c r="B74" s="297" t="s">
        <v>123</v>
      </c>
      <c r="C74" s="299"/>
      <c r="D74" s="143"/>
      <c r="E74" s="143"/>
      <c r="F74" s="279"/>
      <c r="G74" s="279"/>
      <c r="H74" s="143"/>
      <c r="I74" s="285"/>
      <c r="J74" s="143"/>
      <c r="K74" s="291"/>
      <c r="L74" s="292"/>
      <c r="M74" s="294"/>
      <c r="N74" s="294"/>
      <c r="O74" s="53" t="s">
        <v>27</v>
      </c>
      <c r="P74" s="79"/>
      <c r="Q74" s="80"/>
      <c r="R74" s="80"/>
      <c r="S74" s="81"/>
      <c r="T74" s="79"/>
      <c r="U74" s="80"/>
      <c r="V74" s="80"/>
      <c r="W74" s="81"/>
      <c r="X74" s="79"/>
      <c r="Y74" s="153"/>
      <c r="Z74" s="153"/>
      <c r="AA74" s="154"/>
      <c r="AB74" s="152"/>
      <c r="AC74" s="153"/>
      <c r="AD74" s="153"/>
      <c r="AE74" s="154"/>
      <c r="AF74" s="152"/>
      <c r="AG74" s="153"/>
      <c r="AH74" s="153"/>
      <c r="AI74" s="154"/>
      <c r="AJ74" s="152"/>
      <c r="AK74" s="153"/>
      <c r="AL74" s="153"/>
      <c r="AM74" s="154"/>
      <c r="AN74" s="152"/>
      <c r="AO74" s="153"/>
      <c r="AP74" s="153"/>
      <c r="AQ74" s="154"/>
      <c r="AR74" s="152"/>
      <c r="AS74" s="153"/>
      <c r="AT74" s="153"/>
      <c r="AU74" s="154"/>
      <c r="AV74" s="152"/>
      <c r="AW74" s="153"/>
      <c r="AX74" s="153"/>
      <c r="AY74" s="154"/>
      <c r="AZ74" s="152"/>
      <c r="BA74" s="153"/>
      <c r="BB74" s="153"/>
      <c r="BC74" s="154"/>
      <c r="BD74" s="152"/>
      <c r="BE74" s="153"/>
      <c r="BF74" s="153"/>
      <c r="BG74" s="154"/>
      <c r="BH74" s="152"/>
      <c r="BI74" s="153"/>
      <c r="BJ74" s="153"/>
      <c r="BK74" s="154"/>
      <c r="BL74" s="152"/>
      <c r="BM74" s="153"/>
      <c r="BN74" s="153"/>
      <c r="BO74" s="154"/>
      <c r="BP74" s="152"/>
      <c r="BQ74" s="153"/>
      <c r="BR74" s="153"/>
      <c r="BS74" s="154"/>
      <c r="BT74" s="152"/>
      <c r="BU74" s="153"/>
      <c r="BV74" s="153"/>
      <c r="BW74" s="154"/>
      <c r="BX74" s="152"/>
      <c r="BY74" s="153"/>
      <c r="BZ74" s="153"/>
      <c r="CA74" s="154"/>
      <c r="CB74" s="88"/>
      <c r="CC74" s="183"/>
    </row>
    <row r="75" spans="1:81" s="67" customFormat="1" ht="15.75" thickBot="1" x14ac:dyDescent="0.3">
      <c r="A75" s="184"/>
      <c r="B75" s="185" t="s">
        <v>124</v>
      </c>
      <c r="C75" s="186"/>
      <c r="D75" s="186"/>
      <c r="E75" s="187"/>
      <c r="F75" s="188"/>
      <c r="G75" s="189">
        <f>(G67+SUM(G58:G65,G47:G56,G14:G45))*2%</f>
        <v>5663.9207981776808</v>
      </c>
      <c r="H75" s="190"/>
      <c r="I75" s="190"/>
      <c r="J75" s="190"/>
      <c r="K75" s="190"/>
      <c r="L75" s="190"/>
      <c r="M75" s="190"/>
      <c r="N75" s="190"/>
      <c r="O75" s="175"/>
      <c r="P75" s="176"/>
      <c r="Q75" s="177"/>
      <c r="R75" s="177"/>
      <c r="S75" s="178"/>
      <c r="T75" s="176"/>
      <c r="U75" s="177"/>
      <c r="V75" s="177"/>
      <c r="W75" s="178"/>
      <c r="X75" s="176"/>
      <c r="Y75" s="179"/>
      <c r="Z75" s="179"/>
      <c r="AA75" s="180"/>
      <c r="AB75" s="181"/>
      <c r="AC75" s="179"/>
      <c r="AD75" s="179"/>
      <c r="AE75" s="180"/>
      <c r="AF75" s="181"/>
      <c r="AG75" s="179"/>
      <c r="AH75" s="179"/>
      <c r="AI75" s="180"/>
      <c r="AJ75" s="181"/>
      <c r="AK75" s="179"/>
      <c r="AL75" s="179"/>
      <c r="AM75" s="180"/>
      <c r="AN75" s="181"/>
      <c r="AO75" s="179"/>
      <c r="AP75" s="179"/>
      <c r="AQ75" s="180"/>
      <c r="AR75" s="181"/>
      <c r="AS75" s="179"/>
      <c r="AT75" s="179"/>
      <c r="AU75" s="180"/>
      <c r="AV75" s="181"/>
      <c r="AW75" s="179"/>
      <c r="AX75" s="179"/>
      <c r="AY75" s="180"/>
      <c r="AZ75" s="181"/>
      <c r="BA75" s="179"/>
      <c r="BB75" s="179"/>
      <c r="BC75" s="180"/>
      <c r="BD75" s="181"/>
      <c r="BE75" s="179"/>
      <c r="BF75" s="179"/>
      <c r="BG75" s="180"/>
      <c r="BH75" s="181"/>
      <c r="BI75" s="179"/>
      <c r="BJ75" s="179"/>
      <c r="BK75" s="180"/>
      <c r="BL75" s="181"/>
      <c r="BM75" s="179"/>
      <c r="BN75" s="179"/>
      <c r="BO75" s="180"/>
      <c r="BP75" s="182"/>
      <c r="BQ75" s="179"/>
      <c r="BR75" s="179"/>
      <c r="BS75" s="180"/>
      <c r="BT75" s="182"/>
      <c r="BU75" s="179"/>
      <c r="BV75" s="179"/>
      <c r="BW75" s="180"/>
      <c r="BX75" s="182"/>
      <c r="BY75" s="179"/>
      <c r="BZ75" s="179"/>
      <c r="CA75" s="180"/>
      <c r="CB75" s="88"/>
      <c r="CC75" s="183"/>
    </row>
    <row r="76" spans="1:81" s="67" customFormat="1" ht="15.75" thickBot="1" x14ac:dyDescent="0.3">
      <c r="A76" s="191"/>
      <c r="B76" s="192" t="s">
        <v>125</v>
      </c>
      <c r="C76" s="143"/>
      <c r="D76" s="143"/>
      <c r="E76" s="187"/>
      <c r="F76" s="141"/>
      <c r="G76" s="189">
        <f>G75+SUM(G14:G74)</f>
        <v>288859.96070706175</v>
      </c>
      <c r="H76" s="193">
        <f>SUM(H6:H75)</f>
        <v>8.9803921568627416</v>
      </c>
      <c r="I76" s="193"/>
      <c r="J76" s="194"/>
      <c r="K76" s="194"/>
      <c r="L76" s="194"/>
      <c r="M76" s="194"/>
      <c r="N76" s="194"/>
      <c r="O76" s="175"/>
      <c r="P76" s="176"/>
      <c r="Q76" s="177"/>
      <c r="R76" s="177"/>
      <c r="S76" s="178"/>
      <c r="T76" s="176"/>
      <c r="U76" s="177"/>
      <c r="V76" s="177"/>
      <c r="W76" s="178"/>
      <c r="X76" s="176"/>
      <c r="Y76" s="179"/>
      <c r="Z76" s="179"/>
      <c r="AA76" s="180"/>
      <c r="AB76" s="181"/>
      <c r="AC76" s="179"/>
      <c r="AD76" s="179"/>
      <c r="AE76" s="180"/>
      <c r="AF76" s="181"/>
      <c r="AG76" s="179"/>
      <c r="AH76" s="179"/>
      <c r="AI76" s="180"/>
      <c r="AJ76" s="181"/>
      <c r="AK76" s="179"/>
      <c r="AL76" s="179"/>
      <c r="AM76" s="180"/>
      <c r="AN76" s="181"/>
      <c r="AO76" s="179"/>
      <c r="AP76" s="179"/>
      <c r="AQ76" s="180"/>
      <c r="AR76" s="181"/>
      <c r="AS76" s="179"/>
      <c r="AT76" s="179"/>
      <c r="AU76" s="180"/>
      <c r="AV76" s="181"/>
      <c r="AW76" s="179"/>
      <c r="AX76" s="179"/>
      <c r="AY76" s="180"/>
      <c r="AZ76" s="181"/>
      <c r="BA76" s="179"/>
      <c r="BB76" s="179"/>
      <c r="BC76" s="180"/>
      <c r="BD76" s="181"/>
      <c r="BE76" s="179"/>
      <c r="BF76" s="179"/>
      <c r="BG76" s="180"/>
      <c r="BH76" s="181"/>
      <c r="BI76" s="179"/>
      <c r="BJ76" s="179"/>
      <c r="BK76" s="180"/>
      <c r="BL76" s="181"/>
      <c r="BM76" s="179"/>
      <c r="BN76" s="179"/>
      <c r="BO76" s="180"/>
      <c r="BP76" s="182"/>
      <c r="BQ76" s="179"/>
      <c r="BR76" s="179"/>
      <c r="BS76" s="180"/>
      <c r="BT76" s="182"/>
      <c r="BU76" s="179"/>
      <c r="BV76" s="179"/>
      <c r="BW76" s="180"/>
      <c r="BX76" s="182"/>
      <c r="BY76" s="179"/>
      <c r="BZ76" s="179"/>
      <c r="CA76" s="180"/>
      <c r="CB76" s="88"/>
      <c r="CC76" s="183"/>
    </row>
    <row r="77" spans="1:81" s="17" customFormat="1" ht="15.75" outlineLevel="1" thickBot="1" x14ac:dyDescent="0.3">
      <c r="A77" s="111">
        <v>3</v>
      </c>
      <c r="B77" s="112" t="s">
        <v>29</v>
      </c>
      <c r="C77" s="113"/>
      <c r="D77" s="113"/>
      <c r="E77" s="113"/>
      <c r="F77" s="113"/>
      <c r="G77" s="114"/>
      <c r="H77" s="113"/>
      <c r="I77" s="113"/>
      <c r="J77" s="113"/>
      <c r="K77" s="113"/>
      <c r="L77" s="115"/>
      <c r="M77" s="113"/>
      <c r="N77" s="116"/>
      <c r="O77" s="117"/>
      <c r="P77" s="118"/>
      <c r="Q77" s="113"/>
      <c r="R77" s="113"/>
      <c r="S77" s="116"/>
      <c r="T77" s="118"/>
      <c r="U77" s="113"/>
      <c r="V77" s="113"/>
      <c r="W77" s="116"/>
      <c r="X77" s="118"/>
      <c r="Y77" s="113"/>
      <c r="Z77" s="113"/>
      <c r="AA77" s="116"/>
      <c r="AB77" s="118"/>
      <c r="AC77" s="113"/>
      <c r="AD77" s="113"/>
      <c r="AE77" s="116"/>
      <c r="AF77" s="118"/>
      <c r="AG77" s="113"/>
      <c r="AH77" s="113"/>
      <c r="AI77" s="116"/>
      <c r="AJ77" s="118"/>
      <c r="AK77" s="113"/>
      <c r="AL77" s="113"/>
      <c r="AM77" s="116"/>
      <c r="AN77" s="118"/>
      <c r="AO77" s="113"/>
      <c r="AP77" s="113"/>
      <c r="AQ77" s="116"/>
      <c r="AR77" s="118"/>
      <c r="AS77" s="113"/>
      <c r="AT77" s="113"/>
      <c r="AU77" s="116"/>
      <c r="AV77" s="118"/>
      <c r="AW77" s="113"/>
      <c r="AX77" s="113"/>
      <c r="AY77" s="116"/>
      <c r="AZ77" s="118"/>
      <c r="BA77" s="113"/>
      <c r="BB77" s="113"/>
      <c r="BC77" s="116"/>
      <c r="BD77" s="118"/>
      <c r="BE77" s="113"/>
      <c r="BF77" s="113"/>
      <c r="BG77" s="116"/>
      <c r="BH77" s="118"/>
      <c r="BI77" s="113"/>
      <c r="BJ77" s="113"/>
      <c r="BK77" s="116"/>
      <c r="BL77" s="118"/>
      <c r="BM77" s="113"/>
      <c r="BN77" s="113"/>
      <c r="BO77" s="116"/>
      <c r="BP77" s="119"/>
      <c r="BQ77" s="113"/>
      <c r="BR77" s="113"/>
      <c r="BS77" s="116"/>
      <c r="BT77" s="119"/>
      <c r="BU77" s="113"/>
      <c r="BV77" s="113"/>
      <c r="BW77" s="116"/>
      <c r="BX77" s="119"/>
      <c r="BY77" s="113"/>
      <c r="BZ77" s="113"/>
      <c r="CA77" s="116"/>
      <c r="CB77" s="120"/>
      <c r="CC77" s="117"/>
    </row>
    <row r="78" spans="1:81" s="17" customFormat="1" outlineLevel="1" x14ac:dyDescent="0.25">
      <c r="A78" s="121" t="s">
        <v>19</v>
      </c>
      <c r="B78" s="42" t="s">
        <v>53</v>
      </c>
      <c r="C78" s="122" t="s">
        <v>25</v>
      </c>
      <c r="D78" s="43" t="s">
        <v>59</v>
      </c>
      <c r="E78" s="123"/>
      <c r="F78" s="123"/>
      <c r="G78" s="124"/>
      <c r="H78" s="123"/>
      <c r="I78" s="123"/>
      <c r="J78" s="123"/>
      <c r="K78" s="123"/>
      <c r="L78" s="122"/>
      <c r="M78" s="123"/>
      <c r="N78" s="125"/>
      <c r="O78" s="44" t="s">
        <v>26</v>
      </c>
      <c r="P78" s="169">
        <f>P69+P67+P62+P60+P58+P55+P53+P51+P49+P47+P44+P42+P40+P38+P36+P34+P32+P30+P28+P26+P24+P22+P20+P18+P16+P14</f>
        <v>0</v>
      </c>
      <c r="Q78" s="170">
        <f t="shared" ref="Q78:T78" si="18">Q69+Q67+Q62+Q60+Q58+Q55+Q53+Q51+Q49+Q47+Q44+Q42+Q40+Q38+Q36+Q34+Q32+Q30+Q28+Q26+Q24+Q22+Q20+Q18+Q16+Q14</f>
        <v>0</v>
      </c>
      <c r="R78" s="170">
        <f t="shared" si="18"/>
        <v>0</v>
      </c>
      <c r="S78" s="171">
        <f t="shared" si="18"/>
        <v>0</v>
      </c>
      <c r="T78" s="169">
        <f t="shared" si="18"/>
        <v>5</v>
      </c>
      <c r="U78" s="170">
        <f t="shared" ref="U78:CA78" si="19">U69+U67+U62+U60+U58+U55+U53+U51+U49+U47+U44+U42+U40+U38+U36+U34+U32+U30+U28+U26+U24+U22+U20+U18+U16+U14</f>
        <v>5</v>
      </c>
      <c r="V78" s="170">
        <f t="shared" si="19"/>
        <v>5</v>
      </c>
      <c r="W78" s="171">
        <f t="shared" si="19"/>
        <v>7</v>
      </c>
      <c r="X78" s="169">
        <f t="shared" si="19"/>
        <v>7</v>
      </c>
      <c r="Y78" s="170">
        <f t="shared" si="19"/>
        <v>7</v>
      </c>
      <c r="Z78" s="170">
        <f t="shared" si="19"/>
        <v>7</v>
      </c>
      <c r="AA78" s="171">
        <f t="shared" si="19"/>
        <v>5</v>
      </c>
      <c r="AB78" s="169">
        <f t="shared" si="19"/>
        <v>5</v>
      </c>
      <c r="AC78" s="170">
        <f t="shared" si="19"/>
        <v>5</v>
      </c>
      <c r="AD78" s="170">
        <f t="shared" si="19"/>
        <v>5</v>
      </c>
      <c r="AE78" s="171">
        <f t="shared" si="19"/>
        <v>5</v>
      </c>
      <c r="AF78" s="169">
        <f t="shared" si="19"/>
        <v>6</v>
      </c>
      <c r="AG78" s="170">
        <f t="shared" si="19"/>
        <v>11</v>
      </c>
      <c r="AH78" s="170">
        <f t="shared" si="19"/>
        <v>11</v>
      </c>
      <c r="AI78" s="171">
        <f t="shared" si="19"/>
        <v>11</v>
      </c>
      <c r="AJ78" s="169">
        <f t="shared" si="19"/>
        <v>12</v>
      </c>
      <c r="AK78" s="170">
        <f t="shared" si="19"/>
        <v>12</v>
      </c>
      <c r="AL78" s="170">
        <f t="shared" si="19"/>
        <v>12</v>
      </c>
      <c r="AM78" s="171">
        <f t="shared" si="19"/>
        <v>12</v>
      </c>
      <c r="AN78" s="169">
        <f t="shared" si="19"/>
        <v>15</v>
      </c>
      <c r="AO78" s="170">
        <f t="shared" si="19"/>
        <v>15</v>
      </c>
      <c r="AP78" s="170">
        <f t="shared" si="19"/>
        <v>15</v>
      </c>
      <c r="AQ78" s="171">
        <f t="shared" si="19"/>
        <v>15</v>
      </c>
      <c r="AR78" s="169">
        <f t="shared" si="19"/>
        <v>24</v>
      </c>
      <c r="AS78" s="170">
        <f t="shared" si="19"/>
        <v>24</v>
      </c>
      <c r="AT78" s="170">
        <f t="shared" si="19"/>
        <v>24</v>
      </c>
      <c r="AU78" s="171">
        <f t="shared" si="19"/>
        <v>24</v>
      </c>
      <c r="AV78" s="169">
        <f t="shared" si="19"/>
        <v>58</v>
      </c>
      <c r="AW78" s="170">
        <f t="shared" si="19"/>
        <v>60</v>
      </c>
      <c r="AX78" s="170">
        <f t="shared" si="19"/>
        <v>62</v>
      </c>
      <c r="AY78" s="171">
        <f t="shared" si="19"/>
        <v>64</v>
      </c>
      <c r="AZ78" s="169">
        <f t="shared" si="19"/>
        <v>77</v>
      </c>
      <c r="BA78" s="170">
        <f t="shared" si="19"/>
        <v>79</v>
      </c>
      <c r="BB78" s="170">
        <f t="shared" si="19"/>
        <v>81</v>
      </c>
      <c r="BC78" s="171">
        <f t="shared" si="19"/>
        <v>81</v>
      </c>
      <c r="BD78" s="169">
        <f t="shared" si="19"/>
        <v>89</v>
      </c>
      <c r="BE78" s="170">
        <f t="shared" si="19"/>
        <v>89</v>
      </c>
      <c r="BF78" s="170">
        <f t="shared" si="19"/>
        <v>89</v>
      </c>
      <c r="BG78" s="171">
        <f t="shared" si="19"/>
        <v>89</v>
      </c>
      <c r="BH78" s="169">
        <f t="shared" si="19"/>
        <v>90</v>
      </c>
      <c r="BI78" s="170">
        <f t="shared" si="19"/>
        <v>90</v>
      </c>
      <c r="BJ78" s="170">
        <f t="shared" si="19"/>
        <v>89</v>
      </c>
      <c r="BK78" s="171">
        <f t="shared" si="19"/>
        <v>89</v>
      </c>
      <c r="BL78" s="169">
        <f>BL69+BL67+BL62+BL60+BL58+BL55+BL53+BL51+BL49+BL47+BL44+BL42+BL40+BL38+BL36+BL34+BL32+BL30+BL28+BL26+BL24+BL22+BL20+BL18+BL16+BL14+BL64</f>
        <v>46</v>
      </c>
      <c r="BM78" s="170">
        <f t="shared" ref="BM78:BU78" si="20">BM69+BM67+BM62+BM60+BM58+BM55+BM53+BM51+BM49+BM47+BM44+BM42+BM40+BM38+BM36+BM34+BM32+BM30+BM28+BM26+BM24+BM22+BM20+BM18+BM16+BM14+BM64</f>
        <v>46</v>
      </c>
      <c r="BN78" s="170">
        <f t="shared" si="20"/>
        <v>41</v>
      </c>
      <c r="BO78" s="171">
        <f t="shared" si="20"/>
        <v>41</v>
      </c>
      <c r="BP78" s="169">
        <f t="shared" si="20"/>
        <v>28</v>
      </c>
      <c r="BQ78" s="170">
        <f t="shared" si="20"/>
        <v>28</v>
      </c>
      <c r="BR78" s="170">
        <f t="shared" si="20"/>
        <v>28</v>
      </c>
      <c r="BS78" s="171">
        <f>BS69+BS67+BS62+BS60+BS58+BS55+BS53+BS51+BS49+BS47+BS44+BS42+BS40+BS38+BS36+BS34+BS32+BS30+BS28+BS26+BS24+BS22+BS20+BS18+BS16+BS14+BS64</f>
        <v>28</v>
      </c>
      <c r="BT78" s="169">
        <f t="shared" si="20"/>
        <v>32</v>
      </c>
      <c r="BU78" s="170">
        <f t="shared" si="20"/>
        <v>32</v>
      </c>
      <c r="BV78" s="170">
        <f t="shared" si="19"/>
        <v>14</v>
      </c>
      <c r="BW78" s="171">
        <f t="shared" si="19"/>
        <v>14</v>
      </c>
      <c r="BX78" s="169">
        <f t="shared" si="19"/>
        <v>0</v>
      </c>
      <c r="BY78" s="170">
        <f t="shared" si="19"/>
        <v>0</v>
      </c>
      <c r="BZ78" s="170">
        <f t="shared" si="19"/>
        <v>0</v>
      </c>
      <c r="CA78" s="171">
        <f t="shared" si="19"/>
        <v>0</v>
      </c>
      <c r="CB78" s="374"/>
      <c r="CC78" s="374"/>
    </row>
    <row r="79" spans="1:81" s="17" customFormat="1" ht="15.75" outlineLevel="1" thickBot="1" x14ac:dyDescent="0.3">
      <c r="A79" s="121" t="s">
        <v>38</v>
      </c>
      <c r="B79" s="20" t="s">
        <v>54</v>
      </c>
      <c r="C79" s="122" t="s">
        <v>25</v>
      </c>
      <c r="D79" s="23" t="s">
        <v>59</v>
      </c>
      <c r="E79" s="123"/>
      <c r="F79" s="123"/>
      <c r="G79" s="124"/>
      <c r="H79" s="123"/>
      <c r="I79" s="123"/>
      <c r="J79" s="123"/>
      <c r="K79" s="123"/>
      <c r="L79" s="122"/>
      <c r="M79" s="123"/>
      <c r="N79" s="125"/>
      <c r="O79" s="26" t="s">
        <v>27</v>
      </c>
      <c r="P79" s="172">
        <f>P70+P68+P63+P61+P59+P56+P54+P52+P50+P48+P45+P43+P41+P39+P37+P35+P33+P31+P29+P27+P25+P23+P21+P19+P17+P15</f>
        <v>0</v>
      </c>
      <c r="Q79" s="173">
        <f t="shared" ref="Q79:T79" si="21">Q70+Q68+Q63+Q61+Q59+Q56+Q54+Q52+Q50+Q48+Q45+Q43+Q41+Q39+Q37+Q35+Q33+Q31+Q29+Q27+Q25+Q23+Q21+Q19+Q17+Q15</f>
        <v>0</v>
      </c>
      <c r="R79" s="173">
        <f t="shared" si="21"/>
        <v>0</v>
      </c>
      <c r="S79" s="174">
        <f t="shared" si="21"/>
        <v>0</v>
      </c>
      <c r="T79" s="172">
        <f t="shared" si="21"/>
        <v>0</v>
      </c>
      <c r="U79" s="173">
        <f t="shared" ref="U79:CA79" si="22">U70+U68+U63+U61+U59+U56+U54+U52+U50+U48+U45+U43+U41+U39+U37+U35+U33+U31+U29+U27+U25+U23+U21+U19+U17+U15</f>
        <v>0</v>
      </c>
      <c r="V79" s="173">
        <f t="shared" si="22"/>
        <v>0</v>
      </c>
      <c r="W79" s="174">
        <f t="shared" si="22"/>
        <v>0</v>
      </c>
      <c r="X79" s="172">
        <f t="shared" si="22"/>
        <v>0</v>
      </c>
      <c r="Y79" s="173">
        <f t="shared" si="22"/>
        <v>0</v>
      </c>
      <c r="Z79" s="173">
        <f t="shared" si="22"/>
        <v>0</v>
      </c>
      <c r="AA79" s="174">
        <f t="shared" si="22"/>
        <v>0</v>
      </c>
      <c r="AB79" s="172">
        <f t="shared" si="22"/>
        <v>0</v>
      </c>
      <c r="AC79" s="173">
        <f t="shared" si="22"/>
        <v>0</v>
      </c>
      <c r="AD79" s="173">
        <f t="shared" si="22"/>
        <v>0</v>
      </c>
      <c r="AE79" s="174">
        <f t="shared" si="22"/>
        <v>0</v>
      </c>
      <c r="AF79" s="172">
        <f t="shared" si="22"/>
        <v>0</v>
      </c>
      <c r="AG79" s="173">
        <f t="shared" si="22"/>
        <v>0</v>
      </c>
      <c r="AH79" s="173">
        <f t="shared" si="22"/>
        <v>0</v>
      </c>
      <c r="AI79" s="174">
        <f t="shared" si="22"/>
        <v>0</v>
      </c>
      <c r="AJ79" s="172">
        <f t="shared" si="22"/>
        <v>0</v>
      </c>
      <c r="AK79" s="173">
        <f t="shared" si="22"/>
        <v>0</v>
      </c>
      <c r="AL79" s="173">
        <f t="shared" si="22"/>
        <v>0</v>
      </c>
      <c r="AM79" s="174">
        <f t="shared" si="22"/>
        <v>0</v>
      </c>
      <c r="AN79" s="172">
        <f t="shared" si="22"/>
        <v>0</v>
      </c>
      <c r="AO79" s="173">
        <f t="shared" si="22"/>
        <v>0</v>
      </c>
      <c r="AP79" s="173">
        <f t="shared" si="22"/>
        <v>0</v>
      </c>
      <c r="AQ79" s="174">
        <f t="shared" si="22"/>
        <v>0</v>
      </c>
      <c r="AR79" s="172">
        <f t="shared" si="22"/>
        <v>0</v>
      </c>
      <c r="AS79" s="173">
        <f t="shared" si="22"/>
        <v>0</v>
      </c>
      <c r="AT79" s="173">
        <f t="shared" si="22"/>
        <v>0</v>
      </c>
      <c r="AU79" s="174">
        <f t="shared" si="22"/>
        <v>0</v>
      </c>
      <c r="AV79" s="172">
        <f t="shared" si="22"/>
        <v>0</v>
      </c>
      <c r="AW79" s="173">
        <f t="shared" si="22"/>
        <v>0</v>
      </c>
      <c r="AX79" s="173">
        <f t="shared" si="22"/>
        <v>0</v>
      </c>
      <c r="AY79" s="174">
        <f t="shared" si="22"/>
        <v>0</v>
      </c>
      <c r="AZ79" s="172">
        <f t="shared" si="22"/>
        <v>0</v>
      </c>
      <c r="BA79" s="173">
        <f t="shared" si="22"/>
        <v>0</v>
      </c>
      <c r="BB79" s="173">
        <f t="shared" si="22"/>
        <v>0</v>
      </c>
      <c r="BC79" s="174">
        <f t="shared" si="22"/>
        <v>0</v>
      </c>
      <c r="BD79" s="172">
        <f t="shared" si="22"/>
        <v>0</v>
      </c>
      <c r="BE79" s="173">
        <f t="shared" si="22"/>
        <v>0</v>
      </c>
      <c r="BF79" s="173">
        <f t="shared" si="22"/>
        <v>0</v>
      </c>
      <c r="BG79" s="174">
        <f t="shared" si="22"/>
        <v>0</v>
      </c>
      <c r="BH79" s="172">
        <f t="shared" si="22"/>
        <v>0</v>
      </c>
      <c r="BI79" s="173">
        <f t="shared" si="22"/>
        <v>0</v>
      </c>
      <c r="BJ79" s="173">
        <f t="shared" si="22"/>
        <v>0</v>
      </c>
      <c r="BK79" s="174">
        <f t="shared" si="22"/>
        <v>0</v>
      </c>
      <c r="BL79" s="172">
        <f>BL70+BL68+BL63+BL61+BL59+BL56+BL54+BL52+BL50+BL48+BL45+BL43+BL41+BL39+BL37+BL35+BL33+BL31+BL29+BL27+BL25+BL23+BL21+BL19+BL17+BL15+BL65</f>
        <v>0</v>
      </c>
      <c r="BM79" s="173">
        <f t="shared" ref="BM79:BU79" si="23">BM70+BM68+BM63+BM61+BM59+BM56+BM54+BM52+BM50+BM48+BM45+BM43+BM41+BM39+BM37+BM35+BM33+BM31+BM29+BM27+BM25+BM23+BM21+BM19+BM17+BM15+BM65</f>
        <v>0</v>
      </c>
      <c r="BN79" s="173">
        <f t="shared" si="23"/>
        <v>0</v>
      </c>
      <c r="BO79" s="174">
        <f t="shared" si="23"/>
        <v>0</v>
      </c>
      <c r="BP79" s="172">
        <f t="shared" si="23"/>
        <v>0</v>
      </c>
      <c r="BQ79" s="173">
        <f t="shared" si="23"/>
        <v>0</v>
      </c>
      <c r="BR79" s="173">
        <f t="shared" si="23"/>
        <v>0</v>
      </c>
      <c r="BS79" s="174">
        <f t="shared" si="23"/>
        <v>0</v>
      </c>
      <c r="BT79" s="172">
        <f t="shared" si="23"/>
        <v>0</v>
      </c>
      <c r="BU79" s="173">
        <f t="shared" si="23"/>
        <v>0</v>
      </c>
      <c r="BV79" s="173">
        <f t="shared" si="22"/>
        <v>0</v>
      </c>
      <c r="BW79" s="174">
        <f t="shared" si="22"/>
        <v>0</v>
      </c>
      <c r="BX79" s="172">
        <f t="shared" si="22"/>
        <v>0</v>
      </c>
      <c r="BY79" s="173">
        <f t="shared" si="22"/>
        <v>0</v>
      </c>
      <c r="BZ79" s="173">
        <f t="shared" si="22"/>
        <v>0</v>
      </c>
      <c r="CA79" s="174">
        <f t="shared" si="22"/>
        <v>0</v>
      </c>
      <c r="CB79" s="375"/>
      <c r="CC79" s="375"/>
    </row>
    <row r="80" spans="1:81" s="17" customFormat="1" outlineLevel="1" x14ac:dyDescent="0.25">
      <c r="A80" s="121" t="s">
        <v>93</v>
      </c>
      <c r="B80" s="20" t="s">
        <v>55</v>
      </c>
      <c r="C80" s="122" t="s">
        <v>25</v>
      </c>
      <c r="D80" s="23" t="s">
        <v>59</v>
      </c>
      <c r="E80" s="126"/>
      <c r="F80" s="126"/>
      <c r="G80" s="127"/>
      <c r="H80" s="126"/>
      <c r="I80" s="126"/>
      <c r="J80" s="126"/>
      <c r="K80" s="126"/>
      <c r="L80" s="128"/>
      <c r="M80" s="126"/>
      <c r="N80" s="129"/>
      <c r="O80" s="26" t="s">
        <v>26</v>
      </c>
      <c r="P80" s="312">
        <f>CEILING((P78+Q78+R78+S78)/4,1)</f>
        <v>0</v>
      </c>
      <c r="Q80" s="313"/>
      <c r="R80" s="313"/>
      <c r="S80" s="314"/>
      <c r="T80" s="312">
        <f t="shared" ref="T80:T81" si="24">CEILING((T78+U78+V78+W78)/4,1)</f>
        <v>6</v>
      </c>
      <c r="U80" s="313"/>
      <c r="V80" s="313"/>
      <c r="W80" s="314"/>
      <c r="X80" s="312">
        <f t="shared" ref="X80:X81" si="25">CEILING((X78+Y78+Z78+AA78)/4,1)</f>
        <v>7</v>
      </c>
      <c r="Y80" s="313"/>
      <c r="Z80" s="313"/>
      <c r="AA80" s="314"/>
      <c r="AB80" s="312">
        <f t="shared" ref="AB80:AB81" si="26">CEILING((AB78+AC78+AD78+AE78)/4,1)</f>
        <v>5</v>
      </c>
      <c r="AC80" s="313"/>
      <c r="AD80" s="313"/>
      <c r="AE80" s="314"/>
      <c r="AF80" s="312">
        <f t="shared" ref="AF80:AF81" si="27">CEILING((AF78+AG78+AH78+AI78)/4,1)</f>
        <v>10</v>
      </c>
      <c r="AG80" s="313"/>
      <c r="AH80" s="313"/>
      <c r="AI80" s="314"/>
      <c r="AJ80" s="312">
        <f t="shared" ref="AJ80:AJ81" si="28">CEILING((AJ78+AK78+AL78+AM78)/4,1)</f>
        <v>12</v>
      </c>
      <c r="AK80" s="313"/>
      <c r="AL80" s="313"/>
      <c r="AM80" s="314"/>
      <c r="AN80" s="312">
        <f t="shared" ref="AN80:AN81" si="29">CEILING((AN78+AO78+AP78+AQ78)/4,1)</f>
        <v>15</v>
      </c>
      <c r="AO80" s="313"/>
      <c r="AP80" s="313"/>
      <c r="AQ80" s="314"/>
      <c r="AR80" s="312">
        <f t="shared" ref="AR80:AR81" si="30">CEILING((AR78+AS78+AT78+AU78)/4,1)</f>
        <v>24</v>
      </c>
      <c r="AS80" s="313"/>
      <c r="AT80" s="313"/>
      <c r="AU80" s="314"/>
      <c r="AV80" s="312">
        <f t="shared" ref="AV80:AV81" si="31">CEILING((AV78+AW78+AX78+AY78)/4,1)</f>
        <v>61</v>
      </c>
      <c r="AW80" s="313"/>
      <c r="AX80" s="313"/>
      <c r="AY80" s="314"/>
      <c r="AZ80" s="312">
        <f t="shared" ref="AZ80:AZ81" si="32">CEILING((AZ78+BA78+BB78+BC78)/4,1)</f>
        <v>80</v>
      </c>
      <c r="BA80" s="313"/>
      <c r="BB80" s="313"/>
      <c r="BC80" s="314"/>
      <c r="BD80" s="312">
        <f t="shared" ref="BD80:BD81" si="33">CEILING((BD78+BE78+BF78+BG78)/4,1)</f>
        <v>89</v>
      </c>
      <c r="BE80" s="313"/>
      <c r="BF80" s="313"/>
      <c r="BG80" s="314"/>
      <c r="BH80" s="312">
        <f t="shared" ref="BH80:BH81" si="34">CEILING((BH78+BI78+BJ78+BK78)/4,1)</f>
        <v>90</v>
      </c>
      <c r="BI80" s="313"/>
      <c r="BJ80" s="313"/>
      <c r="BK80" s="314"/>
      <c r="BL80" s="312">
        <f t="shared" ref="BL80:BL81" si="35">CEILING((BL78+BM78+BN78+BO78)/4,1)</f>
        <v>44</v>
      </c>
      <c r="BM80" s="313"/>
      <c r="BN80" s="313"/>
      <c r="BO80" s="314"/>
      <c r="BP80" s="312">
        <f t="shared" ref="BP80:BP81" si="36">CEILING((BP78+BQ78+BR78+BS78)/4,1)</f>
        <v>28</v>
      </c>
      <c r="BQ80" s="313"/>
      <c r="BR80" s="313"/>
      <c r="BS80" s="314"/>
      <c r="BT80" s="312">
        <f t="shared" ref="BT80:BT81" si="37">CEILING((BT78+BU78+BV78+BW78)/4,1)</f>
        <v>23</v>
      </c>
      <c r="BU80" s="313"/>
      <c r="BV80" s="313"/>
      <c r="BW80" s="314"/>
      <c r="BX80" s="312">
        <f t="shared" ref="BX80:BX81" si="38">CEILING((BX78+BY78+BZ78+CA78)/4,1)</f>
        <v>0</v>
      </c>
      <c r="BY80" s="313"/>
      <c r="BZ80" s="313"/>
      <c r="CA80" s="314"/>
      <c r="CB80" s="375"/>
      <c r="CC80" s="375"/>
    </row>
    <row r="81" spans="1:112" ht="15.75" outlineLevel="1" thickBot="1" x14ac:dyDescent="0.3">
      <c r="A81" s="121" t="s">
        <v>94</v>
      </c>
      <c r="B81" s="20" t="s">
        <v>30</v>
      </c>
      <c r="C81" s="122" t="s">
        <v>25</v>
      </c>
      <c r="D81" s="23" t="s">
        <v>59</v>
      </c>
      <c r="E81" s="130"/>
      <c r="F81" s="130"/>
      <c r="G81" s="131"/>
      <c r="H81" s="130"/>
      <c r="I81" s="130"/>
      <c r="J81" s="130"/>
      <c r="K81" s="130"/>
      <c r="L81" s="132"/>
      <c r="M81" s="130"/>
      <c r="N81" s="133"/>
      <c r="O81" s="26" t="s">
        <v>27</v>
      </c>
      <c r="P81" s="349">
        <f>CEILING((P79+Q79+R79+S79)/4,1)</f>
        <v>0</v>
      </c>
      <c r="Q81" s="350"/>
      <c r="R81" s="350"/>
      <c r="S81" s="351"/>
      <c r="T81" s="349">
        <f t="shared" si="24"/>
        <v>0</v>
      </c>
      <c r="U81" s="350"/>
      <c r="V81" s="350"/>
      <c r="W81" s="351"/>
      <c r="X81" s="349">
        <f t="shared" si="25"/>
        <v>0</v>
      </c>
      <c r="Y81" s="350"/>
      <c r="Z81" s="350"/>
      <c r="AA81" s="351"/>
      <c r="AB81" s="349">
        <f t="shared" si="26"/>
        <v>0</v>
      </c>
      <c r="AC81" s="350"/>
      <c r="AD81" s="350"/>
      <c r="AE81" s="351"/>
      <c r="AF81" s="349">
        <f t="shared" si="27"/>
        <v>0</v>
      </c>
      <c r="AG81" s="350"/>
      <c r="AH81" s="350"/>
      <c r="AI81" s="351"/>
      <c r="AJ81" s="349">
        <f t="shared" si="28"/>
        <v>0</v>
      </c>
      <c r="AK81" s="350"/>
      <c r="AL81" s="350"/>
      <c r="AM81" s="351"/>
      <c r="AN81" s="349">
        <f t="shared" si="29"/>
        <v>0</v>
      </c>
      <c r="AO81" s="350"/>
      <c r="AP81" s="350"/>
      <c r="AQ81" s="351"/>
      <c r="AR81" s="349">
        <f t="shared" si="30"/>
        <v>0</v>
      </c>
      <c r="AS81" s="350"/>
      <c r="AT81" s="350"/>
      <c r="AU81" s="351"/>
      <c r="AV81" s="349">
        <f t="shared" si="31"/>
        <v>0</v>
      </c>
      <c r="AW81" s="350"/>
      <c r="AX81" s="350"/>
      <c r="AY81" s="351"/>
      <c r="AZ81" s="349">
        <f t="shared" si="32"/>
        <v>0</v>
      </c>
      <c r="BA81" s="350"/>
      <c r="BB81" s="350"/>
      <c r="BC81" s="351"/>
      <c r="BD81" s="349">
        <f t="shared" si="33"/>
        <v>0</v>
      </c>
      <c r="BE81" s="350"/>
      <c r="BF81" s="350"/>
      <c r="BG81" s="351"/>
      <c r="BH81" s="349">
        <f t="shared" si="34"/>
        <v>0</v>
      </c>
      <c r="BI81" s="350"/>
      <c r="BJ81" s="350"/>
      <c r="BK81" s="351"/>
      <c r="BL81" s="349">
        <f t="shared" si="35"/>
        <v>0</v>
      </c>
      <c r="BM81" s="350"/>
      <c r="BN81" s="350"/>
      <c r="BO81" s="351"/>
      <c r="BP81" s="349">
        <f t="shared" si="36"/>
        <v>0</v>
      </c>
      <c r="BQ81" s="350"/>
      <c r="BR81" s="350"/>
      <c r="BS81" s="351"/>
      <c r="BT81" s="349">
        <f t="shared" si="37"/>
        <v>0</v>
      </c>
      <c r="BU81" s="350"/>
      <c r="BV81" s="350"/>
      <c r="BW81" s="351"/>
      <c r="BX81" s="349">
        <f t="shared" si="38"/>
        <v>0</v>
      </c>
      <c r="BY81" s="350"/>
      <c r="BZ81" s="350"/>
      <c r="CA81" s="351"/>
      <c r="CB81" s="375"/>
      <c r="CC81" s="375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</row>
    <row r="82" spans="1:112" ht="15.75" outlineLevel="1" thickBot="1" x14ac:dyDescent="0.3">
      <c r="A82" s="121" t="s">
        <v>95</v>
      </c>
      <c r="B82" s="20" t="s">
        <v>56</v>
      </c>
      <c r="C82" s="122" t="s">
        <v>25</v>
      </c>
      <c r="D82" s="23" t="s">
        <v>60</v>
      </c>
      <c r="E82" s="130"/>
      <c r="F82" s="130"/>
      <c r="G82" s="131"/>
      <c r="H82" s="130"/>
      <c r="I82" s="130"/>
      <c r="J82" s="130"/>
      <c r="K82" s="130"/>
      <c r="L82" s="132"/>
      <c r="M82" s="130"/>
      <c r="N82" s="133"/>
      <c r="O82" s="27" t="s">
        <v>26</v>
      </c>
      <c r="P82" s="309"/>
      <c r="Q82" s="310"/>
      <c r="R82" s="310"/>
      <c r="S82" s="311"/>
      <c r="T82" s="309"/>
      <c r="U82" s="310"/>
      <c r="V82" s="310"/>
      <c r="W82" s="311"/>
      <c r="X82" s="303">
        <f>G14/2</f>
        <v>9794.2794300000023</v>
      </c>
      <c r="Y82" s="304"/>
      <c r="Z82" s="304"/>
      <c r="AA82" s="305"/>
      <c r="AB82" s="303">
        <f>G14/2</f>
        <v>9794.2794300000023</v>
      </c>
      <c r="AC82" s="304"/>
      <c r="AD82" s="304"/>
      <c r="AE82" s="305"/>
      <c r="AF82" s="303">
        <f>G16/8</f>
        <v>8479.7032587194171</v>
      </c>
      <c r="AG82" s="304"/>
      <c r="AH82" s="304"/>
      <c r="AI82" s="305"/>
      <c r="AJ82" s="303">
        <f>G16/8</f>
        <v>8479.7032587194171</v>
      </c>
      <c r="AK82" s="304"/>
      <c r="AL82" s="304"/>
      <c r="AM82" s="305"/>
      <c r="AN82" s="303">
        <f>G16/8</f>
        <v>8479.7032587194171</v>
      </c>
      <c r="AO82" s="304"/>
      <c r="AP82" s="304"/>
      <c r="AQ82" s="305"/>
      <c r="AR82" s="303">
        <f>G16/8+G18/5+G24/6+G26/6+G28/5+G32/6</f>
        <v>24046.545443054121</v>
      </c>
      <c r="AS82" s="304"/>
      <c r="AT82" s="304"/>
      <c r="AU82" s="305"/>
      <c r="AV82" s="303">
        <f>G16/8+G18/5+G24/6+G26/6+G28/5+G32/6+G36/5+G47/4+G49/4+G51/4</f>
        <v>27296.557697554123</v>
      </c>
      <c r="AW82" s="304"/>
      <c r="AX82" s="304"/>
      <c r="AY82" s="305"/>
      <c r="AZ82" s="303">
        <f>G16/8+G18/5+G20/6+G24/6+G26/6+G28/5+G32/6+G36/5+G38/4+G40/4+G42/6+G47/4+G49/4+G51/4</f>
        <v>34196.880892913927</v>
      </c>
      <c r="BA82" s="304"/>
      <c r="BB82" s="304"/>
      <c r="BC82" s="305"/>
      <c r="BD82" s="303">
        <f>G16/8+G18/5+G20/6+G24/6+G26/6+G28/5+G32/6+G36/5+G38/4+G40/4+G42/6+G44/3+G47/4+G49/4+G51/4+G53/3</f>
        <v>38144.061615990715</v>
      </c>
      <c r="BE82" s="304"/>
      <c r="BF82" s="304"/>
      <c r="BG82" s="305"/>
      <c r="BH82" s="303">
        <f>G16/8+G18/5+G20/6+G24/6+G26/6+G28/5+G30+G32/6+G36/5+G38/4+G40/4+G42/6+G44/3+G47/4+G49/4+G51/4+G53/3+G58/2+G60/2+G62/2</f>
        <v>49513.241140990714</v>
      </c>
      <c r="BI82" s="304"/>
      <c r="BJ82" s="304"/>
      <c r="BK82" s="305"/>
      <c r="BL82" s="303">
        <f>G20/6+G22+G24/6+G26/6+G32/6+G34/3+G36/5+G38/4+G40/4+G42/6+G44/3+G53/3+G55+G58/2+G60/2+G62/2+G64/3</f>
        <v>44788.325801502593</v>
      </c>
      <c r="BM82" s="304"/>
      <c r="BN82" s="304"/>
      <c r="BO82" s="305"/>
      <c r="BP82" s="303">
        <f>G20/6+G34/3+G42/6+G64/3</f>
        <v>9739.3071703598016</v>
      </c>
      <c r="BQ82" s="304"/>
      <c r="BR82" s="304"/>
      <c r="BS82" s="305"/>
      <c r="BT82" s="303">
        <f>G20/6+G34/3+G42/6+G64/3+G67</f>
        <v>10443.451510359802</v>
      </c>
      <c r="BU82" s="304"/>
      <c r="BV82" s="304"/>
      <c r="BW82" s="305"/>
      <c r="BX82" s="303"/>
      <c r="BY82" s="304"/>
      <c r="BZ82" s="304"/>
      <c r="CA82" s="305"/>
      <c r="CB82" s="375"/>
      <c r="CC82" s="375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</row>
    <row r="83" spans="1:112" outlineLevel="1" x14ac:dyDescent="0.25">
      <c r="A83" s="121" t="s">
        <v>96</v>
      </c>
      <c r="B83" s="21" t="s">
        <v>57</v>
      </c>
      <c r="C83" s="122" t="s">
        <v>25</v>
      </c>
      <c r="D83" s="24" t="s">
        <v>60</v>
      </c>
      <c r="E83" s="130"/>
      <c r="F83" s="130"/>
      <c r="G83" s="131"/>
      <c r="H83" s="130"/>
      <c r="I83" s="130"/>
      <c r="J83" s="130"/>
      <c r="K83" s="130"/>
      <c r="L83" s="132"/>
      <c r="M83" s="130"/>
      <c r="N83" s="133"/>
      <c r="O83" s="27" t="s">
        <v>27</v>
      </c>
      <c r="P83" s="306"/>
      <c r="Q83" s="307"/>
      <c r="R83" s="307"/>
      <c r="S83" s="308"/>
      <c r="T83" s="306"/>
      <c r="U83" s="307"/>
      <c r="V83" s="307"/>
      <c r="W83" s="308"/>
      <c r="X83" s="306"/>
      <c r="Y83" s="307"/>
      <c r="Z83" s="307"/>
      <c r="AA83" s="308"/>
      <c r="AB83" s="306"/>
      <c r="AC83" s="307"/>
      <c r="AD83" s="307"/>
      <c r="AE83" s="308"/>
      <c r="AF83" s="306"/>
      <c r="AG83" s="307"/>
      <c r="AH83" s="307"/>
      <c r="AI83" s="308"/>
      <c r="AJ83" s="306"/>
      <c r="AK83" s="307"/>
      <c r="AL83" s="307"/>
      <c r="AM83" s="308"/>
      <c r="AN83" s="306"/>
      <c r="AO83" s="307"/>
      <c r="AP83" s="307"/>
      <c r="AQ83" s="308"/>
      <c r="AR83" s="306"/>
      <c r="AS83" s="307"/>
      <c r="AT83" s="307"/>
      <c r="AU83" s="308"/>
      <c r="AV83" s="306"/>
      <c r="AW83" s="307"/>
      <c r="AX83" s="307"/>
      <c r="AY83" s="308"/>
      <c r="AZ83" s="306"/>
      <c r="BA83" s="307"/>
      <c r="BB83" s="307"/>
      <c r="BC83" s="308"/>
      <c r="BD83" s="306"/>
      <c r="BE83" s="307"/>
      <c r="BF83" s="307"/>
      <c r="BG83" s="308"/>
      <c r="BH83" s="306"/>
      <c r="BI83" s="307"/>
      <c r="BJ83" s="307"/>
      <c r="BK83" s="308"/>
      <c r="BL83" s="306"/>
      <c r="BM83" s="307"/>
      <c r="BN83" s="307"/>
      <c r="BO83" s="308"/>
      <c r="BP83" s="306"/>
      <c r="BQ83" s="307"/>
      <c r="BR83" s="307"/>
      <c r="BS83" s="308"/>
      <c r="BT83" s="306"/>
      <c r="BU83" s="307"/>
      <c r="BV83" s="307"/>
      <c r="BW83" s="308"/>
      <c r="BX83" s="306"/>
      <c r="BY83" s="307"/>
      <c r="BZ83" s="307"/>
      <c r="CA83" s="308"/>
      <c r="CB83" s="375"/>
      <c r="CC83" s="375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</row>
    <row r="84" spans="1:112" ht="15.75" outlineLevel="1" thickBot="1" x14ac:dyDescent="0.3">
      <c r="A84" s="135" t="s">
        <v>97</v>
      </c>
      <c r="B84" s="22" t="s">
        <v>58</v>
      </c>
      <c r="C84" s="136"/>
      <c r="D84" s="25" t="s">
        <v>61</v>
      </c>
      <c r="E84" s="136"/>
      <c r="F84" s="136"/>
      <c r="G84" s="137"/>
      <c r="H84" s="136"/>
      <c r="I84" s="195"/>
      <c r="J84" s="196">
        <f>SUM(J14:J83)</f>
        <v>1.3562668091522123E-3</v>
      </c>
      <c r="K84" s="136"/>
      <c r="L84" s="138"/>
      <c r="M84" s="136"/>
      <c r="N84" s="139"/>
      <c r="O84" s="140"/>
      <c r="P84" s="79"/>
      <c r="Q84" s="80"/>
      <c r="R84" s="80"/>
      <c r="S84" s="81"/>
      <c r="T84" s="79"/>
      <c r="U84" s="80"/>
      <c r="V84" s="80"/>
      <c r="W84" s="81"/>
      <c r="X84" s="79"/>
      <c r="Y84" s="80"/>
      <c r="Z84" s="80"/>
      <c r="AA84" s="81"/>
      <c r="AB84" s="79"/>
      <c r="AC84" s="80"/>
      <c r="AD84" s="80"/>
      <c r="AE84" s="81"/>
      <c r="AF84" s="79"/>
      <c r="AG84" s="80"/>
      <c r="AH84" s="80"/>
      <c r="AI84" s="81"/>
      <c r="AJ84" s="79"/>
      <c r="AK84" s="80"/>
      <c r="AL84" s="80"/>
      <c r="AM84" s="81"/>
      <c r="AN84" s="79"/>
      <c r="AO84" s="80"/>
      <c r="AP84" s="80"/>
      <c r="AQ84" s="81"/>
      <c r="AR84" s="79"/>
      <c r="AS84" s="80"/>
      <c r="AT84" s="80"/>
      <c r="AU84" s="81"/>
      <c r="AV84" s="79"/>
      <c r="AW84" s="80"/>
      <c r="AX84" s="80"/>
      <c r="AY84" s="81"/>
      <c r="AZ84" s="79"/>
      <c r="BA84" s="80"/>
      <c r="BB84" s="80"/>
      <c r="BC84" s="81"/>
      <c r="BD84" s="79"/>
      <c r="BE84" s="80"/>
      <c r="BF84" s="80"/>
      <c r="BG84" s="81"/>
      <c r="BH84" s="79"/>
      <c r="BI84" s="80"/>
      <c r="BJ84" s="80"/>
      <c r="BK84" s="81"/>
      <c r="BL84" s="79"/>
      <c r="BM84" s="80"/>
      <c r="BN84" s="80"/>
      <c r="BO84" s="81"/>
      <c r="BP84" s="134"/>
      <c r="BQ84" s="80"/>
      <c r="BR84" s="80"/>
      <c r="BS84" s="81"/>
      <c r="BT84" s="134"/>
      <c r="BU84" s="80"/>
      <c r="BV84" s="80"/>
      <c r="BW84" s="81"/>
      <c r="BX84" s="134"/>
      <c r="BY84" s="80"/>
      <c r="BZ84" s="80"/>
      <c r="CA84" s="81"/>
      <c r="CB84" s="376"/>
      <c r="CC84" s="376"/>
    </row>
    <row r="85" spans="1:112" x14ac:dyDescent="0.25">
      <c r="B85" s="64" t="s">
        <v>73</v>
      </c>
      <c r="AZ85" s="36"/>
      <c r="BA85" s="36"/>
      <c r="BB85" s="36"/>
      <c r="BC85" s="36"/>
      <c r="BD85" s="36"/>
      <c r="BE85" s="36"/>
      <c r="BF85" s="36"/>
      <c r="BG85" s="36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/>
    </row>
    <row r="86" spans="1:112" x14ac:dyDescent="0.25">
      <c r="AZ86" s="36"/>
      <c r="BA86" s="36"/>
      <c r="BB86" s="36"/>
      <c r="BC86" s="36"/>
      <c r="BD86" s="36"/>
      <c r="BE86" s="36"/>
      <c r="BF86" s="36"/>
      <c r="BG86" s="36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/>
    </row>
    <row r="87" spans="1:112" ht="15.75" x14ac:dyDescent="0.25">
      <c r="AZ87" s="36"/>
      <c r="BA87" s="36"/>
      <c r="BB87" s="36"/>
      <c r="BC87" s="36"/>
      <c r="BD87" s="36"/>
      <c r="BE87" s="36"/>
      <c r="BF87" s="36"/>
      <c r="BG87" s="3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</row>
    <row r="88" spans="1:112" ht="15.75" x14ac:dyDescent="0.25">
      <c r="A88" s="19"/>
      <c r="B88" s="19" t="s">
        <v>43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AZ88" s="36"/>
      <c r="BA88" s="36"/>
      <c r="BB88" s="36"/>
      <c r="BC88" s="36"/>
      <c r="BD88" s="36"/>
      <c r="BE88" s="36"/>
      <c r="BF88" s="36"/>
      <c r="BG88" s="36"/>
      <c r="BH88" s="352"/>
      <c r="BI88" s="352"/>
      <c r="BJ88" s="352"/>
      <c r="BK88" s="352"/>
      <c r="BL88" s="352"/>
      <c r="BM88" s="352"/>
      <c r="BN88" s="352"/>
      <c r="BO88" s="352"/>
      <c r="BP88" s="352"/>
      <c r="BQ88" s="352"/>
      <c r="BR88" s="352"/>
      <c r="BS88" s="352"/>
      <c r="BT88" s="352"/>
      <c r="BU88" s="352"/>
      <c r="BV88" s="352"/>
      <c r="BW88" s="352"/>
      <c r="BX88" s="352"/>
      <c r="BY88" s="352"/>
      <c r="BZ88" s="352"/>
      <c r="CA88" s="352"/>
      <c r="CB88" s="352"/>
    </row>
    <row r="89" spans="1:112" ht="15.75" x14ac:dyDescent="0.25">
      <c r="A89" s="19" t="s">
        <v>120</v>
      </c>
      <c r="B89" s="208" t="s">
        <v>128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AZ89" s="36"/>
      <c r="BA89" s="36"/>
      <c r="BB89" s="36"/>
      <c r="BC89" s="36"/>
      <c r="BD89" s="36"/>
      <c r="BE89" s="36"/>
      <c r="BF89" s="36"/>
      <c r="BG89" s="3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</row>
    <row r="90" spans="1:112" ht="15.75" x14ac:dyDescent="0.25">
      <c r="A90" s="19" t="s">
        <v>129</v>
      </c>
      <c r="B90" s="267" t="s">
        <v>130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AZ90" s="36"/>
      <c r="BA90" s="36"/>
      <c r="BB90" s="36"/>
      <c r="BC90" s="36"/>
      <c r="BD90" s="36"/>
      <c r="BE90" s="36"/>
      <c r="BF90" s="36"/>
      <c r="BG90" s="36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</row>
    <row r="91" spans="1:112" ht="15.75" x14ac:dyDescent="0.25">
      <c r="AZ91" s="36"/>
      <c r="BA91" s="36"/>
      <c r="BB91" s="36"/>
      <c r="BC91" s="36"/>
      <c r="BD91" s="36"/>
      <c r="BE91" s="36"/>
      <c r="BF91" s="36"/>
      <c r="BG91" s="3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</row>
    <row r="92" spans="1:112" ht="15.75" x14ac:dyDescent="0.25"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</row>
    <row r="93" spans="1:112" x14ac:dyDescent="0.25"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/>
    </row>
  </sheetData>
  <mergeCells count="517">
    <mergeCell ref="C16:C17"/>
    <mergeCell ref="B16:B17"/>
    <mergeCell ref="A16:A17"/>
    <mergeCell ref="H14:H15"/>
    <mergeCell ref="I14:I15"/>
    <mergeCell ref="J14:J15"/>
    <mergeCell ref="H16:H17"/>
    <mergeCell ref="I16:I17"/>
    <mergeCell ref="J16:J17"/>
    <mergeCell ref="CB78:CB84"/>
    <mergeCell ref="CC78:CC84"/>
    <mergeCell ref="P80:S80"/>
    <mergeCell ref="P81:S81"/>
    <mergeCell ref="P82:S82"/>
    <mergeCell ref="P83:S83"/>
    <mergeCell ref="K14:K15"/>
    <mergeCell ref="L14:L15"/>
    <mergeCell ref="M14:M15"/>
    <mergeCell ref="L16:L17"/>
    <mergeCell ref="K16:K17"/>
    <mergeCell ref="M47:M48"/>
    <mergeCell ref="M32:M33"/>
    <mergeCell ref="M44:M45"/>
    <mergeCell ref="M40:M41"/>
    <mergeCell ref="M22:M23"/>
    <mergeCell ref="M24:M25"/>
    <mergeCell ref="M28:M29"/>
    <mergeCell ref="M26:M27"/>
    <mergeCell ref="M30:M31"/>
    <mergeCell ref="M34:M35"/>
    <mergeCell ref="L58:L59"/>
    <mergeCell ref="L60:L61"/>
    <mergeCell ref="L62:L63"/>
    <mergeCell ref="BP12:BS12"/>
    <mergeCell ref="N69:N70"/>
    <mergeCell ref="N14:N15"/>
    <mergeCell ref="N38:N39"/>
    <mergeCell ref="N42:N43"/>
    <mergeCell ref="N55:N56"/>
    <mergeCell ref="N22:N23"/>
    <mergeCell ref="N49:N50"/>
    <mergeCell ref="N51:N52"/>
    <mergeCell ref="N18:N19"/>
    <mergeCell ref="N47:N48"/>
    <mergeCell ref="N44:N45"/>
    <mergeCell ref="N24:N25"/>
    <mergeCell ref="N28:N29"/>
    <mergeCell ref="N26:N27"/>
    <mergeCell ref="N40:N41"/>
    <mergeCell ref="N34:N35"/>
    <mergeCell ref="N36:N37"/>
    <mergeCell ref="N67:N68"/>
    <mergeCell ref="N58:N59"/>
    <mergeCell ref="N60:N61"/>
    <mergeCell ref="N62:N63"/>
    <mergeCell ref="P12:S12"/>
    <mergeCell ref="T12:W12"/>
    <mergeCell ref="CC10:CC11"/>
    <mergeCell ref="AJ12:AM12"/>
    <mergeCell ref="AN12:AQ12"/>
    <mergeCell ref="AR12:AU12"/>
    <mergeCell ref="AV12:AY12"/>
    <mergeCell ref="AZ12:BC12"/>
    <mergeCell ref="BH12:BK12"/>
    <mergeCell ref="BL12:BO12"/>
    <mergeCell ref="BX12:CA12"/>
    <mergeCell ref="BD12:BG12"/>
    <mergeCell ref="AF10:CA10"/>
    <mergeCell ref="BX11:CA11"/>
    <mergeCell ref="BL11:BO11"/>
    <mergeCell ref="BH11:BK11"/>
    <mergeCell ref="BD11:BG11"/>
    <mergeCell ref="AZ11:BC11"/>
    <mergeCell ref="AV11:AY11"/>
    <mergeCell ref="AR11:AU11"/>
    <mergeCell ref="AN11:AQ11"/>
    <mergeCell ref="AJ11:AM11"/>
    <mergeCell ref="AF11:AI11"/>
    <mergeCell ref="AF12:AI12"/>
    <mergeCell ref="BP11:BS11"/>
    <mergeCell ref="CB10:CB11"/>
    <mergeCell ref="P5:AE5"/>
    <mergeCell ref="B28:B29"/>
    <mergeCell ref="B26:B27"/>
    <mergeCell ref="C26:C27"/>
    <mergeCell ref="C28:C29"/>
    <mergeCell ref="L28:L29"/>
    <mergeCell ref="L26:L27"/>
    <mergeCell ref="C47:C48"/>
    <mergeCell ref="K49:K50"/>
    <mergeCell ref="M20:M21"/>
    <mergeCell ref="H6:AP6"/>
    <mergeCell ref="K42:K43"/>
    <mergeCell ref="L36:L37"/>
    <mergeCell ref="L38:L39"/>
    <mergeCell ref="L42:L43"/>
    <mergeCell ref="K47:K48"/>
    <mergeCell ref="L47:L48"/>
    <mergeCell ref="L49:L50"/>
    <mergeCell ref="B32:B33"/>
    <mergeCell ref="C32:C33"/>
    <mergeCell ref="C36:C37"/>
    <mergeCell ref="C38:C39"/>
    <mergeCell ref="B34:B35"/>
    <mergeCell ref="X12:AA12"/>
    <mergeCell ref="K55:K56"/>
    <mergeCell ref="D55:D56"/>
    <mergeCell ref="E55:E56"/>
    <mergeCell ref="K60:K61"/>
    <mergeCell ref="H55:H56"/>
    <mergeCell ref="I55:I56"/>
    <mergeCell ref="J55:J56"/>
    <mergeCell ref="D58:D59"/>
    <mergeCell ref="K62:K63"/>
    <mergeCell ref="E58:E59"/>
    <mergeCell ref="F58:F59"/>
    <mergeCell ref="G58:G59"/>
    <mergeCell ref="H58:H59"/>
    <mergeCell ref="I58:I59"/>
    <mergeCell ref="J58:J59"/>
    <mergeCell ref="G60:G61"/>
    <mergeCell ref="F55:F56"/>
    <mergeCell ref="K58:K59"/>
    <mergeCell ref="A47:A48"/>
    <mergeCell ref="A49:A50"/>
    <mergeCell ref="A51:A52"/>
    <mergeCell ref="B62:B63"/>
    <mergeCell ref="A55:A56"/>
    <mergeCell ref="A38:A39"/>
    <mergeCell ref="B38:B39"/>
    <mergeCell ref="A44:A45"/>
    <mergeCell ref="B44:B45"/>
    <mergeCell ref="A42:A43"/>
    <mergeCell ref="B42:B43"/>
    <mergeCell ref="B58:B59"/>
    <mergeCell ref="B60:B61"/>
    <mergeCell ref="A40:A41"/>
    <mergeCell ref="B40:B41"/>
    <mergeCell ref="B47:B48"/>
    <mergeCell ref="B49:B50"/>
    <mergeCell ref="B51:B52"/>
    <mergeCell ref="B55:B56"/>
    <mergeCell ref="A58:A59"/>
    <mergeCell ref="A60:A61"/>
    <mergeCell ref="A62:A63"/>
    <mergeCell ref="B53:B54"/>
    <mergeCell ref="A53:A54"/>
    <mergeCell ref="A10:A11"/>
    <mergeCell ref="B10:B11"/>
    <mergeCell ref="C10:C11"/>
    <mergeCell ref="D10:D11"/>
    <mergeCell ref="E10:E11"/>
    <mergeCell ref="F10:F11"/>
    <mergeCell ref="G10:G11"/>
    <mergeCell ref="A28:A29"/>
    <mergeCell ref="A26:A27"/>
    <mergeCell ref="C18:C19"/>
    <mergeCell ref="A18:A19"/>
    <mergeCell ref="B18:B19"/>
    <mergeCell ref="A20:A21"/>
    <mergeCell ref="A14:A15"/>
    <mergeCell ref="B14:B15"/>
    <mergeCell ref="C14:C15"/>
    <mergeCell ref="D14:D15"/>
    <mergeCell ref="E14:E15"/>
    <mergeCell ref="F14:F15"/>
    <mergeCell ref="G14:G15"/>
    <mergeCell ref="D16:D17"/>
    <mergeCell ref="E16:E17"/>
    <mergeCell ref="F16:F17"/>
    <mergeCell ref="G16:G17"/>
    <mergeCell ref="M62:M63"/>
    <mergeCell ref="K67:K68"/>
    <mergeCell ref="L67:L68"/>
    <mergeCell ref="M67:M68"/>
    <mergeCell ref="C67:C68"/>
    <mergeCell ref="D60:D61"/>
    <mergeCell ref="E60:E61"/>
    <mergeCell ref="F60:F61"/>
    <mergeCell ref="D62:D63"/>
    <mergeCell ref="E62:E63"/>
    <mergeCell ref="F62:F63"/>
    <mergeCell ref="G62:G63"/>
    <mergeCell ref="H62:H63"/>
    <mergeCell ref="I62:I63"/>
    <mergeCell ref="J62:J63"/>
    <mergeCell ref="D67:D68"/>
    <mergeCell ref="E67:E68"/>
    <mergeCell ref="F67:F68"/>
    <mergeCell ref="G67:G68"/>
    <mergeCell ref="H67:H68"/>
    <mergeCell ref="I67:I68"/>
    <mergeCell ref="J67:J68"/>
    <mergeCell ref="J64:J65"/>
    <mergeCell ref="C62:C63"/>
    <mergeCell ref="P11:S11"/>
    <mergeCell ref="H10:H11"/>
    <mergeCell ref="I10:I11"/>
    <mergeCell ref="BH88:CB88"/>
    <mergeCell ref="M58:M59"/>
    <mergeCell ref="L55:L56"/>
    <mergeCell ref="M55:M56"/>
    <mergeCell ref="M18:M19"/>
    <mergeCell ref="N30:N31"/>
    <mergeCell ref="N32:N33"/>
    <mergeCell ref="N20:N21"/>
    <mergeCell ref="M16:M17"/>
    <mergeCell ref="N16:N17"/>
    <mergeCell ref="BP81:BS81"/>
    <mergeCell ref="BT81:BW81"/>
    <mergeCell ref="BX81:CA81"/>
    <mergeCell ref="T80:W80"/>
    <mergeCell ref="X80:AA80"/>
    <mergeCell ref="AB80:AE80"/>
    <mergeCell ref="M60:M61"/>
    <mergeCell ref="AF80:AI80"/>
    <mergeCell ref="AJ80:AM80"/>
    <mergeCell ref="AN80:AQ80"/>
    <mergeCell ref="AR82:AU82"/>
    <mergeCell ref="BH89:CB89"/>
    <mergeCell ref="BH91:CB91"/>
    <mergeCell ref="BH92:CB92"/>
    <mergeCell ref="M69:M70"/>
    <mergeCell ref="K69:K70"/>
    <mergeCell ref="L69:L70"/>
    <mergeCell ref="H60:H61"/>
    <mergeCell ref="I60:I61"/>
    <mergeCell ref="J60:J61"/>
    <mergeCell ref="BP80:BS80"/>
    <mergeCell ref="BT80:BW80"/>
    <mergeCell ref="BX80:CA80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Z81:BC81"/>
    <mergeCell ref="BD81:BG81"/>
    <mergeCell ref="BH81:BK81"/>
    <mergeCell ref="BL81:BO81"/>
    <mergeCell ref="C42:C43"/>
    <mergeCell ref="K32:K33"/>
    <mergeCell ref="K20:K21"/>
    <mergeCell ref="C22:C23"/>
    <mergeCell ref="C24:C25"/>
    <mergeCell ref="C49:C50"/>
    <mergeCell ref="C51:C52"/>
    <mergeCell ref="K22:K23"/>
    <mergeCell ref="L22:L23"/>
    <mergeCell ref="K24:K25"/>
    <mergeCell ref="L24:L25"/>
    <mergeCell ref="C34:C35"/>
    <mergeCell ref="C30:C31"/>
    <mergeCell ref="C44:C45"/>
    <mergeCell ref="K44:K45"/>
    <mergeCell ref="L44:L45"/>
    <mergeCell ref="C40:C41"/>
    <mergeCell ref="K40:K41"/>
    <mergeCell ref="L40:L41"/>
    <mergeCell ref="L34:L35"/>
    <mergeCell ref="K36:K37"/>
    <mergeCell ref="K38:K39"/>
    <mergeCell ref="K34:K35"/>
    <mergeCell ref="K30:K31"/>
    <mergeCell ref="H7:AP7"/>
    <mergeCell ref="BH87:CB87"/>
    <mergeCell ref="AB11:AE11"/>
    <mergeCell ref="X11:AA11"/>
    <mergeCell ref="T11:W11"/>
    <mergeCell ref="M36:M37"/>
    <mergeCell ref="M38:M39"/>
    <mergeCell ref="M42:M43"/>
    <mergeCell ref="M49:M50"/>
    <mergeCell ref="M51:M52"/>
    <mergeCell ref="K53:K54"/>
    <mergeCell ref="L53:L54"/>
    <mergeCell ref="K51:K52"/>
    <mergeCell ref="L51:L52"/>
    <mergeCell ref="M53:M54"/>
    <mergeCell ref="N53:N54"/>
    <mergeCell ref="BT11:BW11"/>
    <mergeCell ref="BT12:BW12"/>
    <mergeCell ref="J10:J11"/>
    <mergeCell ref="P10:AE10"/>
    <mergeCell ref="K10:L10"/>
    <mergeCell ref="M10:N10"/>
    <mergeCell ref="O10:O11"/>
    <mergeCell ref="AB12:AE12"/>
    <mergeCell ref="A36:A37"/>
    <mergeCell ref="B36:B37"/>
    <mergeCell ref="B30:B31"/>
    <mergeCell ref="A30:A31"/>
    <mergeCell ref="L18:L19"/>
    <mergeCell ref="A22:A23"/>
    <mergeCell ref="B22:B23"/>
    <mergeCell ref="A24:A25"/>
    <mergeCell ref="B24:B25"/>
    <mergeCell ref="B20:B21"/>
    <mergeCell ref="K18:K19"/>
    <mergeCell ref="C20:C21"/>
    <mergeCell ref="A34:A35"/>
    <mergeCell ref="A32:A33"/>
    <mergeCell ref="L30:L31"/>
    <mergeCell ref="K26:K27"/>
    <mergeCell ref="K28:K29"/>
    <mergeCell ref="L32:L33"/>
    <mergeCell ref="L20:L21"/>
    <mergeCell ref="D18:D19"/>
    <mergeCell ref="E18:E19"/>
    <mergeCell ref="F18:F19"/>
    <mergeCell ref="G18:G19"/>
    <mergeCell ref="H18:H19"/>
    <mergeCell ref="AV82:AY82"/>
    <mergeCell ref="AZ82:BC82"/>
    <mergeCell ref="BD80:BG80"/>
    <mergeCell ref="BH80:BK80"/>
    <mergeCell ref="BL80:BO80"/>
    <mergeCell ref="AR80:AU80"/>
    <mergeCell ref="AV80:AY80"/>
    <mergeCell ref="AZ80:BC80"/>
    <mergeCell ref="BD82:BG82"/>
    <mergeCell ref="BH82:BK82"/>
    <mergeCell ref="BL82:BO82"/>
    <mergeCell ref="BP82:BS82"/>
    <mergeCell ref="BT82:BW82"/>
    <mergeCell ref="BX82:CA82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Z83:BC83"/>
    <mergeCell ref="BD83:BG83"/>
    <mergeCell ref="BH83:BK83"/>
    <mergeCell ref="BL83:BO83"/>
    <mergeCell ref="BP83:BS83"/>
    <mergeCell ref="BT83:BW83"/>
    <mergeCell ref="BX83:CA83"/>
    <mergeCell ref="T82:W82"/>
    <mergeCell ref="X82:AA82"/>
    <mergeCell ref="AB82:AE82"/>
    <mergeCell ref="AF82:AI82"/>
    <mergeCell ref="AJ82:AM82"/>
    <mergeCell ref="AN82:AQ82"/>
    <mergeCell ref="I18:I19"/>
    <mergeCell ref="J18:J19"/>
    <mergeCell ref="D20:D21"/>
    <mergeCell ref="E20:E21"/>
    <mergeCell ref="F20:F21"/>
    <mergeCell ref="G20:G21"/>
    <mergeCell ref="H20:H21"/>
    <mergeCell ref="I20:I21"/>
    <mergeCell ref="J20:J21"/>
    <mergeCell ref="D22:D23"/>
    <mergeCell ref="E22:E23"/>
    <mergeCell ref="F22:F23"/>
    <mergeCell ref="G22:G23"/>
    <mergeCell ref="H22:H23"/>
    <mergeCell ref="I22:I23"/>
    <mergeCell ref="J22:J23"/>
    <mergeCell ref="D24:D25"/>
    <mergeCell ref="E24:E25"/>
    <mergeCell ref="F24:F25"/>
    <mergeCell ref="G24:G25"/>
    <mergeCell ref="H24:H25"/>
    <mergeCell ref="I24:I25"/>
    <mergeCell ref="J24:J25"/>
    <mergeCell ref="D26:D27"/>
    <mergeCell ref="E26:E27"/>
    <mergeCell ref="F26:F27"/>
    <mergeCell ref="G26:G27"/>
    <mergeCell ref="H26:H27"/>
    <mergeCell ref="I26:I27"/>
    <mergeCell ref="J26:J27"/>
    <mergeCell ref="D28:D29"/>
    <mergeCell ref="E28:E29"/>
    <mergeCell ref="F28:F29"/>
    <mergeCell ref="G28:G29"/>
    <mergeCell ref="H28:H29"/>
    <mergeCell ref="I28:I29"/>
    <mergeCell ref="J28:J29"/>
    <mergeCell ref="D30:D31"/>
    <mergeCell ref="E30:E31"/>
    <mergeCell ref="F30:F31"/>
    <mergeCell ref="G30:G31"/>
    <mergeCell ref="H30:H31"/>
    <mergeCell ref="I30:I31"/>
    <mergeCell ref="J30:J31"/>
    <mergeCell ref="D32:D33"/>
    <mergeCell ref="E32:E33"/>
    <mergeCell ref="F32:F33"/>
    <mergeCell ref="G32:G33"/>
    <mergeCell ref="H32:H33"/>
    <mergeCell ref="I32:I33"/>
    <mergeCell ref="J32:J33"/>
    <mergeCell ref="D34:D35"/>
    <mergeCell ref="E34:E35"/>
    <mergeCell ref="F34:F35"/>
    <mergeCell ref="G34:G35"/>
    <mergeCell ref="H34:H35"/>
    <mergeCell ref="I34:I35"/>
    <mergeCell ref="J34:J35"/>
    <mergeCell ref="D36:D37"/>
    <mergeCell ref="E36:E37"/>
    <mergeCell ref="F36:F37"/>
    <mergeCell ref="G36:G37"/>
    <mergeCell ref="H36:H37"/>
    <mergeCell ref="I36:I37"/>
    <mergeCell ref="J36:J37"/>
    <mergeCell ref="D38:D39"/>
    <mergeCell ref="E38:E39"/>
    <mergeCell ref="F38:F39"/>
    <mergeCell ref="G38:G39"/>
    <mergeCell ref="H38:H39"/>
    <mergeCell ref="I38:I39"/>
    <mergeCell ref="J38:J39"/>
    <mergeCell ref="D40:D41"/>
    <mergeCell ref="E40:E41"/>
    <mergeCell ref="F40:F41"/>
    <mergeCell ref="G40:G41"/>
    <mergeCell ref="H40:H41"/>
    <mergeCell ref="I40:I41"/>
    <mergeCell ref="J40:J41"/>
    <mergeCell ref="D42:D43"/>
    <mergeCell ref="E42:E43"/>
    <mergeCell ref="F42:F43"/>
    <mergeCell ref="G42:G43"/>
    <mergeCell ref="H42:H43"/>
    <mergeCell ref="I42:I43"/>
    <mergeCell ref="J42:J43"/>
    <mergeCell ref="D44:D45"/>
    <mergeCell ref="E44:E45"/>
    <mergeCell ref="F44:F45"/>
    <mergeCell ref="G44:G45"/>
    <mergeCell ref="H44:H45"/>
    <mergeCell ref="I44:I45"/>
    <mergeCell ref="J44:J45"/>
    <mergeCell ref="D47:D48"/>
    <mergeCell ref="E47:E48"/>
    <mergeCell ref="F47:F48"/>
    <mergeCell ref="G47:G48"/>
    <mergeCell ref="H47:H48"/>
    <mergeCell ref="I47:I48"/>
    <mergeCell ref="J47:J48"/>
    <mergeCell ref="D49:D50"/>
    <mergeCell ref="E49:E50"/>
    <mergeCell ref="F49:F50"/>
    <mergeCell ref="G49:G50"/>
    <mergeCell ref="H49:H50"/>
    <mergeCell ref="I49:I50"/>
    <mergeCell ref="J49:J50"/>
    <mergeCell ref="H51:H52"/>
    <mergeCell ref="I51:I52"/>
    <mergeCell ref="J51:J52"/>
    <mergeCell ref="D53:D54"/>
    <mergeCell ref="E53:E54"/>
    <mergeCell ref="F53:F54"/>
    <mergeCell ref="G53:G54"/>
    <mergeCell ref="H53:H54"/>
    <mergeCell ref="I53:I54"/>
    <mergeCell ref="J53:J54"/>
    <mergeCell ref="F69:F70"/>
    <mergeCell ref="G69:G70"/>
    <mergeCell ref="A69:A70"/>
    <mergeCell ref="B69:B70"/>
    <mergeCell ref="C69:C70"/>
    <mergeCell ref="D51:D52"/>
    <mergeCell ref="E51:E52"/>
    <mergeCell ref="F51:F52"/>
    <mergeCell ref="G51:G52"/>
    <mergeCell ref="G55:G56"/>
    <mergeCell ref="C53:C54"/>
    <mergeCell ref="C55:C56"/>
    <mergeCell ref="C58:C59"/>
    <mergeCell ref="C60:C61"/>
    <mergeCell ref="G73:G74"/>
    <mergeCell ref="I73:I74"/>
    <mergeCell ref="K73:K74"/>
    <mergeCell ref="L73:L74"/>
    <mergeCell ref="M73:M74"/>
    <mergeCell ref="N73:N74"/>
    <mergeCell ref="A71:A72"/>
    <mergeCell ref="B71:B72"/>
    <mergeCell ref="C71:C72"/>
    <mergeCell ref="F71:F72"/>
    <mergeCell ref="G71:G72"/>
    <mergeCell ref="I71:I72"/>
    <mergeCell ref="B90:T90"/>
    <mergeCell ref="K64:K65"/>
    <mergeCell ref="L64:L65"/>
    <mergeCell ref="M64:M65"/>
    <mergeCell ref="N64:N65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A67:A68"/>
    <mergeCell ref="B67:B68"/>
    <mergeCell ref="K71:K72"/>
    <mergeCell ref="L71:L72"/>
    <mergeCell ref="M71:M72"/>
    <mergeCell ref="N71:N72"/>
    <mergeCell ref="A73:A74"/>
    <mergeCell ref="B73:B74"/>
    <mergeCell ref="C73:C74"/>
    <mergeCell ref="F73:F74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3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7454-B6E2-47FC-B1AE-F8221D870AB9}">
  <dimension ref="A1:DH93"/>
  <sheetViews>
    <sheetView topLeftCell="A37" zoomScale="80" zoomScaleNormal="80" zoomScaleSheetLayoutView="50" zoomScalePageLayoutView="40" workbookViewId="0">
      <selection activeCell="K66" sqref="K66:L66"/>
    </sheetView>
  </sheetViews>
  <sheetFormatPr defaultRowHeight="15" outlineLevelRow="1" x14ac:dyDescent="0.25"/>
  <cols>
    <col min="1" max="1" width="12.85546875" style="1" customWidth="1"/>
    <col min="2" max="2" width="54.5703125" style="1" customWidth="1"/>
    <col min="3" max="3" width="15.7109375" style="1" customWidth="1"/>
    <col min="4" max="4" width="10.140625" style="1" customWidth="1"/>
    <col min="5" max="6" width="15.7109375" style="1" customWidth="1"/>
    <col min="7" max="7" width="15.7109375" style="1" customWidth="1" collapsed="1"/>
    <col min="8" max="10" width="15.7109375" style="1" customWidth="1"/>
    <col min="11" max="11" width="16.42578125" style="1" customWidth="1" collapsed="1"/>
    <col min="12" max="12" width="14.28515625" style="39" customWidth="1"/>
    <col min="13" max="13" width="13.85546875" style="1" customWidth="1"/>
    <col min="14" max="14" width="14.7109375" style="1" customWidth="1"/>
    <col min="15" max="15" width="8.85546875" style="1" customWidth="1" collapsed="1"/>
    <col min="16" max="79" width="3" style="1" customWidth="1"/>
    <col min="80" max="81" width="21.5703125" style="1" customWidth="1"/>
    <col min="82" max="16384" width="9.140625" style="1"/>
  </cols>
  <sheetData>
    <row r="1" spans="1:102" ht="18.75" customHeight="1" x14ac:dyDescent="0.25">
      <c r="B1" s="8" t="s">
        <v>39</v>
      </c>
      <c r="P1" s="45"/>
      <c r="Q1" s="45"/>
      <c r="R1" s="45"/>
      <c r="AZ1" s="36"/>
      <c r="BA1" s="36"/>
      <c r="BB1" s="36"/>
      <c r="BC1" s="36"/>
      <c r="BD1" s="36"/>
      <c r="BE1" s="36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2" t="s">
        <v>41</v>
      </c>
      <c r="BZ1" s="36"/>
    </row>
    <row r="2" spans="1:102" ht="18.75" customHeight="1" x14ac:dyDescent="0.25">
      <c r="B2" s="8"/>
      <c r="P2" s="45"/>
      <c r="Q2" s="45"/>
      <c r="R2" s="45"/>
      <c r="AZ2" s="36"/>
      <c r="BA2" s="36"/>
      <c r="BB2" s="36"/>
      <c r="BC2" s="36"/>
      <c r="BD2" s="36"/>
      <c r="BE2" s="36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2" t="s">
        <v>67</v>
      </c>
      <c r="BZ2" s="36"/>
    </row>
    <row r="3" spans="1:102" ht="18.75" customHeight="1" x14ac:dyDescent="0.25">
      <c r="B3" s="8"/>
      <c r="AZ3" s="36"/>
      <c r="BA3" s="36"/>
      <c r="BB3" s="36"/>
      <c r="BC3" s="36"/>
      <c r="BD3" s="36"/>
      <c r="BE3" s="3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2" t="s">
        <v>68</v>
      </c>
      <c r="BZ3" s="36"/>
    </row>
    <row r="4" spans="1:102" ht="18.75" customHeight="1" x14ac:dyDescent="0.25">
      <c r="B4" s="8"/>
      <c r="AZ4" s="36"/>
      <c r="BA4" s="36"/>
      <c r="BB4" s="36"/>
      <c r="BC4" s="36"/>
      <c r="BD4" s="36"/>
      <c r="BE4" s="36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2" t="s">
        <v>69</v>
      </c>
      <c r="BZ4" s="36"/>
    </row>
    <row r="5" spans="1:102" ht="18.75" customHeight="1" x14ac:dyDescent="0.25">
      <c r="B5" s="8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Z5" s="36"/>
      <c r="BA5" s="36"/>
      <c r="BB5" s="36"/>
      <c r="BC5" s="36"/>
      <c r="BD5" s="36"/>
      <c r="BE5" s="36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2" t="s">
        <v>70</v>
      </c>
      <c r="BZ5" s="36"/>
    </row>
    <row r="6" spans="1:102" ht="18.75" customHeight="1" x14ac:dyDescent="0.25">
      <c r="B6" s="8"/>
      <c r="H6" s="366" t="s">
        <v>104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Z6" s="36"/>
      <c r="BA6" s="36"/>
      <c r="BB6" s="36"/>
      <c r="BC6" s="36"/>
      <c r="BD6" s="36"/>
      <c r="BE6" s="36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8"/>
      <c r="BZ6" s="36"/>
    </row>
    <row r="7" spans="1:102" ht="30.75" customHeight="1" x14ac:dyDescent="0.25">
      <c r="B7" s="8"/>
      <c r="C7" s="2"/>
      <c r="D7" s="2"/>
      <c r="E7" s="2"/>
      <c r="F7" s="2"/>
      <c r="G7" s="2"/>
      <c r="H7" s="325" t="s">
        <v>132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F7" s="36"/>
      <c r="CG7" s="36"/>
      <c r="CH7" s="36"/>
      <c r="CI7" s="36"/>
      <c r="CJ7" s="36"/>
      <c r="CK7" s="36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8"/>
      <c r="CX7" s="36"/>
    </row>
    <row r="8" spans="1:102" ht="18.75" customHeight="1" x14ac:dyDescent="0.25">
      <c r="A8" s="3"/>
      <c r="B8" s="9" t="s">
        <v>72</v>
      </c>
      <c r="C8" s="2"/>
      <c r="D8" s="2"/>
      <c r="E8" s="2"/>
      <c r="F8" s="2"/>
      <c r="G8" s="2"/>
      <c r="H8" s="2"/>
      <c r="I8" s="2"/>
      <c r="J8" s="2"/>
      <c r="K8" s="2"/>
      <c r="L8" s="214"/>
      <c r="M8" s="2"/>
      <c r="N8" s="2"/>
      <c r="O8" s="2"/>
      <c r="AZ8" s="36"/>
      <c r="BA8" s="36"/>
      <c r="BB8" s="36"/>
      <c r="BC8" s="36"/>
      <c r="BD8" s="36"/>
      <c r="BE8" s="36"/>
      <c r="BF8" s="11"/>
      <c r="BG8" s="11"/>
      <c r="BH8" s="11"/>
      <c r="BI8" s="11"/>
      <c r="BJ8" s="11"/>
      <c r="BK8" s="11"/>
      <c r="BL8" s="11"/>
      <c r="BM8" s="11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2" t="s">
        <v>71</v>
      </c>
      <c r="BZ8" s="10"/>
      <c r="CA8" s="10"/>
      <c r="CB8" s="4"/>
      <c r="CC8" s="4"/>
      <c r="CD8" s="4"/>
      <c r="CF8" s="5"/>
      <c r="CG8" s="5"/>
    </row>
    <row r="9" spans="1:102" ht="18.75" customHeight="1" thickBot="1" x14ac:dyDescent="0.3">
      <c r="A9" s="7"/>
      <c r="B9" s="9" t="s">
        <v>40</v>
      </c>
      <c r="C9" s="7"/>
      <c r="D9" s="7"/>
      <c r="E9" s="7"/>
      <c r="F9" s="7"/>
      <c r="G9" s="7"/>
      <c r="H9" s="7"/>
      <c r="I9" s="7"/>
      <c r="J9" s="7"/>
      <c r="K9" s="7"/>
      <c r="L9" s="4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37"/>
      <c r="BG9" s="37"/>
      <c r="BH9" s="37"/>
      <c r="BI9" s="37"/>
      <c r="BJ9" s="37"/>
      <c r="BK9" s="37"/>
      <c r="BL9" s="37"/>
      <c r="BM9" s="37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12" t="s">
        <v>42</v>
      </c>
      <c r="BZ9" s="7"/>
      <c r="CA9" s="7"/>
      <c r="CB9" s="5"/>
      <c r="CC9" s="5"/>
    </row>
    <row r="10" spans="1:102" s="19" customFormat="1" ht="46.15" customHeight="1" thickBot="1" x14ac:dyDescent="0.3">
      <c r="A10" s="353" t="s">
        <v>15</v>
      </c>
      <c r="B10" s="353" t="s">
        <v>0</v>
      </c>
      <c r="C10" s="355" t="s">
        <v>21</v>
      </c>
      <c r="D10" s="333" t="s">
        <v>45</v>
      </c>
      <c r="E10" s="333" t="s">
        <v>46</v>
      </c>
      <c r="F10" s="333" t="s">
        <v>50</v>
      </c>
      <c r="G10" s="357" t="s">
        <v>51</v>
      </c>
      <c r="H10" s="333" t="s">
        <v>47</v>
      </c>
      <c r="I10" s="333" t="s">
        <v>48</v>
      </c>
      <c r="J10" s="333" t="s">
        <v>49</v>
      </c>
      <c r="K10" s="337" t="s">
        <v>22</v>
      </c>
      <c r="L10" s="338"/>
      <c r="M10" s="339" t="s">
        <v>24</v>
      </c>
      <c r="N10" s="338"/>
      <c r="O10" s="340"/>
      <c r="P10" s="335">
        <v>2022</v>
      </c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6"/>
      <c r="AF10" s="369" t="s">
        <v>28</v>
      </c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6"/>
      <c r="CB10" s="370" t="s">
        <v>43</v>
      </c>
      <c r="CC10" s="367" t="s">
        <v>44</v>
      </c>
      <c r="CD10" s="18"/>
    </row>
    <row r="11" spans="1:102" s="19" customFormat="1" ht="41.45" customHeight="1" thickBot="1" x14ac:dyDescent="0.3">
      <c r="A11" s="354"/>
      <c r="B11" s="354"/>
      <c r="C11" s="356"/>
      <c r="D11" s="334"/>
      <c r="E11" s="334"/>
      <c r="F11" s="334"/>
      <c r="G11" s="358"/>
      <c r="H11" s="334"/>
      <c r="I11" s="334"/>
      <c r="J11" s="334"/>
      <c r="K11" s="35" t="s">
        <v>23</v>
      </c>
      <c r="L11" s="35" t="s">
        <v>131</v>
      </c>
      <c r="M11" s="35" t="s">
        <v>23</v>
      </c>
      <c r="N11" s="35" t="s">
        <v>131</v>
      </c>
      <c r="O11" s="341"/>
      <c r="P11" s="327" t="s">
        <v>9</v>
      </c>
      <c r="Q11" s="328"/>
      <c r="R11" s="328"/>
      <c r="S11" s="329"/>
      <c r="T11" s="327" t="s">
        <v>10</v>
      </c>
      <c r="U11" s="328"/>
      <c r="V11" s="328"/>
      <c r="W11" s="329"/>
      <c r="X11" s="327" t="s">
        <v>11</v>
      </c>
      <c r="Y11" s="328"/>
      <c r="Z11" s="328"/>
      <c r="AA11" s="329"/>
      <c r="AB11" s="327" t="s">
        <v>12</v>
      </c>
      <c r="AC11" s="328"/>
      <c r="AD11" s="328"/>
      <c r="AE11" s="329"/>
      <c r="AF11" s="327" t="s">
        <v>1</v>
      </c>
      <c r="AG11" s="328"/>
      <c r="AH11" s="328"/>
      <c r="AI11" s="329"/>
      <c r="AJ11" s="327" t="s">
        <v>2</v>
      </c>
      <c r="AK11" s="328"/>
      <c r="AL11" s="328"/>
      <c r="AM11" s="329"/>
      <c r="AN11" s="327" t="s">
        <v>3</v>
      </c>
      <c r="AO11" s="328"/>
      <c r="AP11" s="328"/>
      <c r="AQ11" s="329"/>
      <c r="AR11" s="327" t="s">
        <v>4</v>
      </c>
      <c r="AS11" s="328"/>
      <c r="AT11" s="328"/>
      <c r="AU11" s="329"/>
      <c r="AV11" s="327" t="s">
        <v>5</v>
      </c>
      <c r="AW11" s="328"/>
      <c r="AX11" s="328"/>
      <c r="AY11" s="329"/>
      <c r="AZ11" s="327" t="s">
        <v>6</v>
      </c>
      <c r="BA11" s="328"/>
      <c r="BB11" s="328"/>
      <c r="BC11" s="329"/>
      <c r="BD11" s="327" t="s">
        <v>7</v>
      </c>
      <c r="BE11" s="328"/>
      <c r="BF11" s="328"/>
      <c r="BG11" s="329"/>
      <c r="BH11" s="327" t="s">
        <v>8</v>
      </c>
      <c r="BI11" s="328"/>
      <c r="BJ11" s="328"/>
      <c r="BK11" s="329"/>
      <c r="BL11" s="327" t="s">
        <v>9</v>
      </c>
      <c r="BM11" s="328"/>
      <c r="BN11" s="328"/>
      <c r="BO11" s="329"/>
      <c r="BP11" s="327" t="s">
        <v>10</v>
      </c>
      <c r="BQ11" s="328"/>
      <c r="BR11" s="328"/>
      <c r="BS11" s="329"/>
      <c r="BT11" s="327" t="s">
        <v>11</v>
      </c>
      <c r="BU11" s="328"/>
      <c r="BV11" s="328"/>
      <c r="BW11" s="329"/>
      <c r="BX11" s="327" t="s">
        <v>12</v>
      </c>
      <c r="BY11" s="328"/>
      <c r="BZ11" s="328"/>
      <c r="CA11" s="329"/>
      <c r="CB11" s="371"/>
      <c r="CC11" s="368"/>
    </row>
    <row r="12" spans="1:102" ht="15" customHeight="1" thickBot="1" x14ac:dyDescent="0.3">
      <c r="A12" s="55">
        <v>1</v>
      </c>
      <c r="B12" s="2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28">
        <v>11</v>
      </c>
      <c r="L12" s="28">
        <v>12</v>
      </c>
      <c r="M12" s="28">
        <v>13</v>
      </c>
      <c r="N12" s="28">
        <v>14</v>
      </c>
      <c r="O12" s="210">
        <v>15</v>
      </c>
      <c r="P12" s="330">
        <v>16</v>
      </c>
      <c r="Q12" s="331"/>
      <c r="R12" s="331"/>
      <c r="S12" s="332"/>
      <c r="T12" s="330">
        <v>17</v>
      </c>
      <c r="U12" s="331"/>
      <c r="V12" s="331"/>
      <c r="W12" s="332"/>
      <c r="X12" s="330">
        <v>18</v>
      </c>
      <c r="Y12" s="331"/>
      <c r="Z12" s="331"/>
      <c r="AA12" s="332"/>
      <c r="AB12" s="330">
        <v>19</v>
      </c>
      <c r="AC12" s="331"/>
      <c r="AD12" s="331"/>
      <c r="AE12" s="332"/>
      <c r="AF12" s="330">
        <v>20</v>
      </c>
      <c r="AG12" s="331"/>
      <c r="AH12" s="331"/>
      <c r="AI12" s="332"/>
      <c r="AJ12" s="330">
        <v>21</v>
      </c>
      <c r="AK12" s="331"/>
      <c r="AL12" s="331"/>
      <c r="AM12" s="332"/>
      <c r="AN12" s="330">
        <v>22</v>
      </c>
      <c r="AO12" s="331"/>
      <c r="AP12" s="331"/>
      <c r="AQ12" s="332"/>
      <c r="AR12" s="330">
        <v>23</v>
      </c>
      <c r="AS12" s="331"/>
      <c r="AT12" s="331"/>
      <c r="AU12" s="332"/>
      <c r="AV12" s="330">
        <v>24</v>
      </c>
      <c r="AW12" s="331"/>
      <c r="AX12" s="331"/>
      <c r="AY12" s="332"/>
      <c r="AZ12" s="330">
        <v>25</v>
      </c>
      <c r="BA12" s="331"/>
      <c r="BB12" s="331"/>
      <c r="BC12" s="332"/>
      <c r="BD12" s="330">
        <v>26</v>
      </c>
      <c r="BE12" s="331"/>
      <c r="BF12" s="331"/>
      <c r="BG12" s="332"/>
      <c r="BH12" s="330">
        <v>27</v>
      </c>
      <c r="BI12" s="331"/>
      <c r="BJ12" s="331"/>
      <c r="BK12" s="332"/>
      <c r="BL12" s="330">
        <v>28</v>
      </c>
      <c r="BM12" s="331"/>
      <c r="BN12" s="331"/>
      <c r="BO12" s="332"/>
      <c r="BP12" s="330">
        <v>29</v>
      </c>
      <c r="BQ12" s="331"/>
      <c r="BR12" s="331"/>
      <c r="BS12" s="332"/>
      <c r="BT12" s="330">
        <v>30</v>
      </c>
      <c r="BU12" s="331"/>
      <c r="BV12" s="331"/>
      <c r="BW12" s="332"/>
      <c r="BX12" s="330">
        <v>31</v>
      </c>
      <c r="BY12" s="331"/>
      <c r="BZ12" s="331"/>
      <c r="CA12" s="332"/>
      <c r="CB12" s="211">
        <v>32</v>
      </c>
      <c r="CC12" s="28">
        <v>33</v>
      </c>
    </row>
    <row r="13" spans="1:102" ht="15.75" thickBot="1" x14ac:dyDescent="0.3">
      <c r="A13" s="56" t="s">
        <v>74</v>
      </c>
      <c r="B13" s="61" t="s">
        <v>52</v>
      </c>
      <c r="C13" s="57"/>
      <c r="D13" s="57"/>
      <c r="E13" s="57"/>
      <c r="F13" s="57"/>
      <c r="G13" s="60"/>
      <c r="H13" s="57"/>
      <c r="I13" s="57"/>
      <c r="J13" s="57"/>
      <c r="K13" s="68">
        <v>44835</v>
      </c>
      <c r="L13" s="69">
        <v>45245</v>
      </c>
      <c r="M13" s="57"/>
      <c r="N13" s="57"/>
      <c r="O13" s="54"/>
      <c r="P13" s="31"/>
      <c r="Q13" s="30"/>
      <c r="R13" s="30"/>
      <c r="S13" s="32"/>
      <c r="T13" s="31"/>
      <c r="U13" s="30"/>
      <c r="V13" s="30"/>
      <c r="W13" s="32"/>
      <c r="X13" s="31"/>
      <c r="Y13" s="30"/>
      <c r="Z13" s="30"/>
      <c r="AA13" s="32"/>
      <c r="AB13" s="31"/>
      <c r="AC13" s="30"/>
      <c r="AD13" s="30"/>
      <c r="AE13" s="32"/>
      <c r="AF13" s="31"/>
      <c r="AG13" s="30"/>
      <c r="AH13" s="30"/>
      <c r="AI13" s="32"/>
      <c r="AJ13" s="31"/>
      <c r="AK13" s="30"/>
      <c r="AL13" s="30"/>
      <c r="AM13" s="32"/>
      <c r="AN13" s="31"/>
      <c r="AO13" s="30"/>
      <c r="AP13" s="30"/>
      <c r="AQ13" s="32"/>
      <c r="AR13" s="31"/>
      <c r="AS13" s="30"/>
      <c r="AT13" s="30"/>
      <c r="AU13" s="32"/>
      <c r="AV13" s="31"/>
      <c r="AW13" s="30"/>
      <c r="AX13" s="30"/>
      <c r="AY13" s="32"/>
      <c r="AZ13" s="31"/>
      <c r="BA13" s="30"/>
      <c r="BB13" s="30"/>
      <c r="BC13" s="32"/>
      <c r="BD13" s="31"/>
      <c r="BE13" s="30"/>
      <c r="BF13" s="30"/>
      <c r="BG13" s="32"/>
      <c r="BH13" s="31"/>
      <c r="BI13" s="30"/>
      <c r="BJ13" s="30"/>
      <c r="BK13" s="32"/>
      <c r="BL13" s="31"/>
      <c r="BM13" s="30"/>
      <c r="BN13" s="30"/>
      <c r="BO13" s="32"/>
      <c r="BP13" s="31"/>
      <c r="BQ13" s="30"/>
      <c r="BR13" s="30"/>
      <c r="BS13" s="32"/>
      <c r="BT13" s="31"/>
      <c r="BU13" s="30"/>
      <c r="BV13" s="30"/>
      <c r="BW13" s="32"/>
      <c r="BX13" s="31"/>
      <c r="BY13" s="30"/>
      <c r="BZ13" s="30"/>
      <c r="CA13" s="32"/>
      <c r="CB13" s="33"/>
      <c r="CC13" s="34"/>
    </row>
    <row r="14" spans="1:102" s="6" customFormat="1" x14ac:dyDescent="0.25">
      <c r="A14" s="274" t="s">
        <v>75</v>
      </c>
      <c r="B14" s="359" t="s">
        <v>108</v>
      </c>
      <c r="C14" s="278" t="s">
        <v>25</v>
      </c>
      <c r="D14" s="278" t="s">
        <v>119</v>
      </c>
      <c r="E14" s="278">
        <v>1</v>
      </c>
      <c r="F14" s="280">
        <f>G14</f>
        <v>19588.558860000005</v>
      </c>
      <c r="G14" s="280">
        <f>(18276169.01+326158.32+999569.53)/1000-13.338</f>
        <v>19588.558860000005</v>
      </c>
      <c r="H14" s="282">
        <f>G14/G76</f>
        <v>6.7813340457610616E-2</v>
      </c>
      <c r="I14" s="284">
        <v>0.02</v>
      </c>
      <c r="J14" s="301">
        <f>I14*H14</f>
        <v>1.3562668091522123E-3</v>
      </c>
      <c r="K14" s="319">
        <v>44835</v>
      </c>
      <c r="L14" s="323">
        <v>44926</v>
      </c>
      <c r="M14" s="270"/>
      <c r="N14" s="270"/>
      <c r="O14" s="47" t="s">
        <v>26</v>
      </c>
      <c r="P14" s="74"/>
      <c r="Q14" s="75"/>
      <c r="R14" s="147">
        <v>5</v>
      </c>
      <c r="S14" s="148">
        <v>5</v>
      </c>
      <c r="T14" s="146">
        <v>5</v>
      </c>
      <c r="U14" s="147">
        <v>5</v>
      </c>
      <c r="V14" s="147">
        <v>5</v>
      </c>
      <c r="W14" s="148">
        <v>7</v>
      </c>
      <c r="X14" s="146">
        <v>7</v>
      </c>
      <c r="Y14" s="147">
        <v>7</v>
      </c>
      <c r="Z14" s="147">
        <v>7</v>
      </c>
      <c r="AA14" s="148">
        <v>5</v>
      </c>
      <c r="AB14" s="146">
        <v>5</v>
      </c>
      <c r="AC14" s="147">
        <v>5</v>
      </c>
      <c r="AD14" s="147">
        <v>5</v>
      </c>
      <c r="AE14" s="148">
        <v>5</v>
      </c>
      <c r="AF14" s="149"/>
      <c r="AG14" s="150"/>
      <c r="AH14" s="150"/>
      <c r="AI14" s="151"/>
      <c r="AJ14" s="149"/>
      <c r="AK14" s="150"/>
      <c r="AL14" s="150"/>
      <c r="AM14" s="151"/>
      <c r="AN14" s="149"/>
      <c r="AO14" s="150"/>
      <c r="AP14" s="150"/>
      <c r="AQ14" s="151"/>
      <c r="AR14" s="149"/>
      <c r="AS14" s="150"/>
      <c r="AT14" s="150"/>
      <c r="AU14" s="151"/>
      <c r="AV14" s="149"/>
      <c r="AW14" s="150"/>
      <c r="AX14" s="150"/>
      <c r="AY14" s="151"/>
      <c r="AZ14" s="149"/>
      <c r="BA14" s="150"/>
      <c r="BB14" s="150"/>
      <c r="BC14" s="151"/>
      <c r="BD14" s="149"/>
      <c r="BE14" s="150"/>
      <c r="BF14" s="150"/>
      <c r="BG14" s="151"/>
      <c r="BH14" s="149"/>
      <c r="BI14" s="150"/>
      <c r="BJ14" s="150"/>
      <c r="BK14" s="151"/>
      <c r="BL14" s="149"/>
      <c r="BM14" s="150"/>
      <c r="BN14" s="75"/>
      <c r="BO14" s="76"/>
      <c r="BP14" s="74"/>
      <c r="BQ14" s="75"/>
      <c r="BR14" s="75"/>
      <c r="BS14" s="76"/>
      <c r="BT14" s="74"/>
      <c r="BU14" s="75"/>
      <c r="BV14" s="75"/>
      <c r="BW14" s="76"/>
      <c r="BX14" s="74"/>
      <c r="BY14" s="75"/>
      <c r="BZ14" s="75"/>
      <c r="CA14" s="76"/>
      <c r="CB14" s="77"/>
      <c r="CC14" s="78"/>
    </row>
    <row r="15" spans="1:102" s="6" customFormat="1" ht="15.75" thickBot="1" x14ac:dyDescent="0.3">
      <c r="A15" s="275"/>
      <c r="B15" s="360"/>
      <c r="C15" s="279"/>
      <c r="D15" s="279"/>
      <c r="E15" s="279"/>
      <c r="F15" s="281"/>
      <c r="G15" s="281"/>
      <c r="H15" s="283"/>
      <c r="I15" s="285"/>
      <c r="J15" s="302"/>
      <c r="K15" s="320"/>
      <c r="L15" s="324"/>
      <c r="M15" s="271"/>
      <c r="N15" s="271"/>
      <c r="O15" s="48" t="s">
        <v>27</v>
      </c>
      <c r="P15" s="79"/>
      <c r="Q15" s="80"/>
      <c r="R15" s="223">
        <v>5</v>
      </c>
      <c r="S15" s="224">
        <v>5</v>
      </c>
      <c r="T15" s="225">
        <v>5</v>
      </c>
      <c r="U15" s="223">
        <v>5</v>
      </c>
      <c r="V15" s="153"/>
      <c r="W15" s="154"/>
      <c r="X15" s="152"/>
      <c r="Y15" s="153"/>
      <c r="Z15" s="153"/>
      <c r="AA15" s="154"/>
      <c r="AB15" s="152"/>
      <c r="AC15" s="153"/>
      <c r="AD15" s="153"/>
      <c r="AE15" s="154"/>
      <c r="AF15" s="152"/>
      <c r="AG15" s="153"/>
      <c r="AH15" s="153"/>
      <c r="AI15" s="154"/>
      <c r="AJ15" s="152"/>
      <c r="AK15" s="153"/>
      <c r="AL15" s="153"/>
      <c r="AM15" s="154"/>
      <c r="AN15" s="152"/>
      <c r="AO15" s="153"/>
      <c r="AP15" s="153"/>
      <c r="AQ15" s="154"/>
      <c r="AR15" s="152"/>
      <c r="AS15" s="153"/>
      <c r="AT15" s="153"/>
      <c r="AU15" s="154"/>
      <c r="AV15" s="152"/>
      <c r="AW15" s="153"/>
      <c r="AX15" s="153"/>
      <c r="AY15" s="154"/>
      <c r="AZ15" s="152"/>
      <c r="BA15" s="153"/>
      <c r="BB15" s="153"/>
      <c r="BC15" s="154"/>
      <c r="BD15" s="152"/>
      <c r="BE15" s="153"/>
      <c r="BF15" s="153"/>
      <c r="BG15" s="154"/>
      <c r="BH15" s="152"/>
      <c r="BI15" s="153"/>
      <c r="BJ15" s="153"/>
      <c r="BK15" s="154"/>
      <c r="BL15" s="152"/>
      <c r="BM15" s="153"/>
      <c r="BN15" s="153"/>
      <c r="BO15" s="154"/>
      <c r="BP15" s="152"/>
      <c r="BQ15" s="153"/>
      <c r="BR15" s="153"/>
      <c r="BS15" s="154"/>
      <c r="BT15" s="152"/>
      <c r="BU15" s="153"/>
      <c r="BV15" s="153"/>
      <c r="BW15" s="154"/>
      <c r="BX15" s="152"/>
      <c r="BY15" s="153"/>
      <c r="BZ15" s="153"/>
      <c r="CA15" s="154"/>
      <c r="CB15" s="82"/>
      <c r="CC15" s="83"/>
    </row>
    <row r="16" spans="1:102" s="6" customFormat="1" x14ac:dyDescent="0.25">
      <c r="A16" s="274" t="s">
        <v>105</v>
      </c>
      <c r="B16" s="276" t="s">
        <v>121</v>
      </c>
      <c r="C16" s="278" t="s">
        <v>25</v>
      </c>
      <c r="D16" s="278" t="s">
        <v>119</v>
      </c>
      <c r="E16" s="278">
        <v>1</v>
      </c>
      <c r="F16" s="280">
        <f>G16</f>
        <v>67837.626069755337</v>
      </c>
      <c r="G16" s="280">
        <f>(((8684981+429471+1777236+675876+33015+3552293+3506788+408303+27131368+5949319+7436648+5949319)*1.011)*1.004*1.0198)/1000</f>
        <v>67837.626069755337</v>
      </c>
      <c r="H16" s="282">
        <f>G16/G76</f>
        <v>0.23484606832911237</v>
      </c>
      <c r="I16" s="284">
        <v>0</v>
      </c>
      <c r="J16" s="301">
        <f t="shared" ref="J16" si="0">I16*H16</f>
        <v>0</v>
      </c>
      <c r="K16" s="319">
        <v>44927</v>
      </c>
      <c r="L16" s="315">
        <v>45138</v>
      </c>
      <c r="M16" s="270"/>
      <c r="N16" s="270"/>
      <c r="O16" s="47" t="s">
        <v>26</v>
      </c>
      <c r="P16" s="74"/>
      <c r="Q16" s="75"/>
      <c r="R16" s="75"/>
      <c r="S16" s="76"/>
      <c r="T16" s="149"/>
      <c r="U16" s="150"/>
      <c r="V16" s="150"/>
      <c r="W16" s="151"/>
      <c r="X16" s="149"/>
      <c r="Y16" s="150"/>
      <c r="Z16" s="150"/>
      <c r="AA16" s="151"/>
      <c r="AB16" s="149"/>
      <c r="AC16" s="150"/>
      <c r="AD16" s="150"/>
      <c r="AE16" s="151"/>
      <c r="AF16" s="146">
        <v>6</v>
      </c>
      <c r="AG16" s="147">
        <v>11</v>
      </c>
      <c r="AH16" s="147">
        <v>11</v>
      </c>
      <c r="AI16" s="148">
        <v>11</v>
      </c>
      <c r="AJ16" s="146">
        <v>12</v>
      </c>
      <c r="AK16" s="147">
        <v>12</v>
      </c>
      <c r="AL16" s="147">
        <v>12</v>
      </c>
      <c r="AM16" s="148">
        <v>12</v>
      </c>
      <c r="AN16" s="146">
        <v>15</v>
      </c>
      <c r="AO16" s="147">
        <v>15</v>
      </c>
      <c r="AP16" s="147">
        <v>15</v>
      </c>
      <c r="AQ16" s="148">
        <v>15</v>
      </c>
      <c r="AR16" s="146">
        <v>8</v>
      </c>
      <c r="AS16" s="147">
        <v>8</v>
      </c>
      <c r="AT16" s="147">
        <v>8</v>
      </c>
      <c r="AU16" s="148">
        <v>8</v>
      </c>
      <c r="AV16" s="146">
        <v>8</v>
      </c>
      <c r="AW16" s="147">
        <v>8</v>
      </c>
      <c r="AX16" s="147">
        <v>8</v>
      </c>
      <c r="AY16" s="148">
        <v>8</v>
      </c>
      <c r="AZ16" s="146">
        <v>8</v>
      </c>
      <c r="BA16" s="147">
        <v>8</v>
      </c>
      <c r="BB16" s="147">
        <v>8</v>
      </c>
      <c r="BC16" s="148">
        <v>8</v>
      </c>
      <c r="BD16" s="146">
        <v>8</v>
      </c>
      <c r="BE16" s="147">
        <v>8</v>
      </c>
      <c r="BF16" s="147">
        <v>8</v>
      </c>
      <c r="BG16" s="148">
        <v>8</v>
      </c>
      <c r="BH16" s="149"/>
      <c r="BI16" s="150"/>
      <c r="BJ16" s="150"/>
      <c r="BK16" s="151"/>
      <c r="BL16" s="149"/>
      <c r="BM16" s="150"/>
      <c r="BN16" s="150"/>
      <c r="BO16" s="151"/>
      <c r="BP16" s="149"/>
      <c r="BQ16" s="150"/>
      <c r="BR16" s="150"/>
      <c r="BS16" s="151"/>
      <c r="BT16" s="149"/>
      <c r="BU16" s="150"/>
      <c r="BV16" s="150"/>
      <c r="BW16" s="151"/>
      <c r="BX16" s="149"/>
      <c r="BY16" s="150"/>
      <c r="BZ16" s="150"/>
      <c r="CA16" s="151"/>
      <c r="CB16" s="77"/>
      <c r="CC16" s="78"/>
    </row>
    <row r="17" spans="1:81" s="6" customFormat="1" ht="15.75" thickBot="1" x14ac:dyDescent="0.3">
      <c r="A17" s="275"/>
      <c r="B17" s="277"/>
      <c r="C17" s="279"/>
      <c r="D17" s="279"/>
      <c r="E17" s="279"/>
      <c r="F17" s="281"/>
      <c r="G17" s="281"/>
      <c r="H17" s="283"/>
      <c r="I17" s="285"/>
      <c r="J17" s="302"/>
      <c r="K17" s="320"/>
      <c r="L17" s="316"/>
      <c r="M17" s="271"/>
      <c r="N17" s="271"/>
      <c r="O17" s="48" t="s">
        <v>27</v>
      </c>
      <c r="P17" s="79"/>
      <c r="Q17" s="80"/>
      <c r="R17" s="80"/>
      <c r="S17" s="81"/>
      <c r="T17" s="152"/>
      <c r="U17" s="153"/>
      <c r="V17" s="153"/>
      <c r="W17" s="154"/>
      <c r="X17" s="152"/>
      <c r="Y17" s="153"/>
      <c r="Z17" s="153"/>
      <c r="AA17" s="154"/>
      <c r="AB17" s="152"/>
      <c r="AC17" s="153"/>
      <c r="AD17" s="153"/>
      <c r="AE17" s="154"/>
      <c r="AF17" s="152"/>
      <c r="AG17" s="153"/>
      <c r="AH17" s="153"/>
      <c r="AI17" s="154"/>
      <c r="AJ17" s="152"/>
      <c r="AK17" s="153"/>
      <c r="AL17" s="153"/>
      <c r="AM17" s="154"/>
      <c r="AN17" s="152"/>
      <c r="AO17" s="153"/>
      <c r="AP17" s="153"/>
      <c r="AQ17" s="154"/>
      <c r="AR17" s="152"/>
      <c r="AS17" s="153"/>
      <c r="AT17" s="153"/>
      <c r="AU17" s="154"/>
      <c r="AV17" s="152"/>
      <c r="AW17" s="153"/>
      <c r="AX17" s="153"/>
      <c r="AY17" s="154"/>
      <c r="AZ17" s="152"/>
      <c r="BA17" s="153"/>
      <c r="BB17" s="153"/>
      <c r="BC17" s="154"/>
      <c r="BD17" s="152"/>
      <c r="BE17" s="153"/>
      <c r="BF17" s="153"/>
      <c r="BG17" s="154"/>
      <c r="BH17" s="152"/>
      <c r="BI17" s="153"/>
      <c r="BJ17" s="153"/>
      <c r="BK17" s="154"/>
      <c r="BL17" s="152"/>
      <c r="BM17" s="153"/>
      <c r="BN17" s="153"/>
      <c r="BO17" s="154"/>
      <c r="BP17" s="152"/>
      <c r="BQ17" s="153"/>
      <c r="BR17" s="153"/>
      <c r="BS17" s="154"/>
      <c r="BT17" s="152"/>
      <c r="BU17" s="153"/>
      <c r="BV17" s="153"/>
      <c r="BW17" s="154"/>
      <c r="BX17" s="152"/>
      <c r="BY17" s="153"/>
      <c r="BZ17" s="153"/>
      <c r="CA17" s="154"/>
      <c r="CB17" s="82"/>
      <c r="CC17" s="83"/>
    </row>
    <row r="18" spans="1:81" s="6" customFormat="1" x14ac:dyDescent="0.25">
      <c r="A18" s="274" t="s">
        <v>106</v>
      </c>
      <c r="B18" s="276" t="s">
        <v>118</v>
      </c>
      <c r="C18" s="278" t="s">
        <v>25</v>
      </c>
      <c r="D18" s="278" t="s">
        <v>119</v>
      </c>
      <c r="E18" s="278">
        <v>1</v>
      </c>
      <c r="F18" s="280">
        <f>G18</f>
        <v>9183.6316911406884</v>
      </c>
      <c r="G18" s="280">
        <f>(((4107263+4673053+91542)*1.011)*1.004*1.0198)/1000</f>
        <v>9183.6316911406884</v>
      </c>
      <c r="H18" s="282">
        <f>G18/G76</f>
        <v>3.1792677907527586E-2</v>
      </c>
      <c r="I18" s="284">
        <v>0</v>
      </c>
      <c r="J18" s="301">
        <f t="shared" ref="J18" si="1">I18*H18</f>
        <v>0</v>
      </c>
      <c r="K18" s="319">
        <v>45017</v>
      </c>
      <c r="L18" s="315">
        <v>45153</v>
      </c>
      <c r="M18" s="270"/>
      <c r="N18" s="270"/>
      <c r="O18" s="47" t="s">
        <v>26</v>
      </c>
      <c r="P18" s="74"/>
      <c r="Q18" s="75"/>
      <c r="R18" s="75"/>
      <c r="S18" s="76"/>
      <c r="T18" s="149"/>
      <c r="U18" s="150"/>
      <c r="V18" s="150"/>
      <c r="W18" s="151"/>
      <c r="X18" s="149"/>
      <c r="Y18" s="150"/>
      <c r="Z18" s="150"/>
      <c r="AA18" s="151"/>
      <c r="AB18" s="149"/>
      <c r="AC18" s="150"/>
      <c r="AD18" s="150"/>
      <c r="AE18" s="151"/>
      <c r="AF18" s="149"/>
      <c r="AG18" s="150"/>
      <c r="AH18" s="150"/>
      <c r="AI18" s="151"/>
      <c r="AJ18" s="149"/>
      <c r="AK18" s="150"/>
      <c r="AL18" s="150"/>
      <c r="AM18" s="151"/>
      <c r="AN18" s="149"/>
      <c r="AO18" s="150"/>
      <c r="AP18" s="150"/>
      <c r="AQ18" s="151"/>
      <c r="AR18" s="146">
        <v>4</v>
      </c>
      <c r="AS18" s="147">
        <v>4</v>
      </c>
      <c r="AT18" s="147">
        <v>4</v>
      </c>
      <c r="AU18" s="148">
        <v>4</v>
      </c>
      <c r="AV18" s="146">
        <v>4</v>
      </c>
      <c r="AW18" s="147">
        <v>4</v>
      </c>
      <c r="AX18" s="147">
        <v>4</v>
      </c>
      <c r="AY18" s="148">
        <v>4</v>
      </c>
      <c r="AZ18" s="146">
        <v>4</v>
      </c>
      <c r="BA18" s="147">
        <v>4</v>
      </c>
      <c r="BB18" s="147">
        <v>4</v>
      </c>
      <c r="BC18" s="148">
        <v>4</v>
      </c>
      <c r="BD18" s="146">
        <v>4</v>
      </c>
      <c r="BE18" s="147">
        <v>4</v>
      </c>
      <c r="BF18" s="147">
        <v>4</v>
      </c>
      <c r="BG18" s="148">
        <v>4</v>
      </c>
      <c r="BH18" s="146">
        <v>4</v>
      </c>
      <c r="BI18" s="147">
        <v>4</v>
      </c>
      <c r="BJ18" s="150"/>
      <c r="BK18" s="151"/>
      <c r="BL18" s="149"/>
      <c r="BM18" s="150"/>
      <c r="BN18" s="150"/>
      <c r="BO18" s="151"/>
      <c r="BP18" s="149"/>
      <c r="BQ18" s="150"/>
      <c r="BR18" s="150"/>
      <c r="BS18" s="151"/>
      <c r="BT18" s="149"/>
      <c r="BU18" s="150"/>
      <c r="BV18" s="150"/>
      <c r="BW18" s="151"/>
      <c r="BX18" s="149"/>
      <c r="BY18" s="150"/>
      <c r="BZ18" s="150"/>
      <c r="CA18" s="151"/>
      <c r="CB18" s="77"/>
      <c r="CC18" s="78"/>
    </row>
    <row r="19" spans="1:81" s="6" customFormat="1" ht="15.75" thickBot="1" x14ac:dyDescent="0.3">
      <c r="A19" s="275"/>
      <c r="B19" s="277"/>
      <c r="C19" s="279"/>
      <c r="D19" s="279"/>
      <c r="E19" s="279"/>
      <c r="F19" s="281"/>
      <c r="G19" s="281"/>
      <c r="H19" s="283"/>
      <c r="I19" s="285"/>
      <c r="J19" s="302"/>
      <c r="K19" s="320"/>
      <c r="L19" s="316"/>
      <c r="M19" s="271"/>
      <c r="N19" s="271"/>
      <c r="O19" s="48" t="s">
        <v>27</v>
      </c>
      <c r="P19" s="79"/>
      <c r="Q19" s="80"/>
      <c r="R19" s="80"/>
      <c r="S19" s="81"/>
      <c r="T19" s="79"/>
      <c r="U19" s="80"/>
      <c r="V19" s="80"/>
      <c r="W19" s="81"/>
      <c r="X19" s="79"/>
      <c r="Y19" s="153"/>
      <c r="Z19" s="153"/>
      <c r="AA19" s="154"/>
      <c r="AB19" s="152"/>
      <c r="AC19" s="153"/>
      <c r="AD19" s="153"/>
      <c r="AE19" s="154"/>
      <c r="AF19" s="152"/>
      <c r="AG19" s="153"/>
      <c r="AH19" s="153"/>
      <c r="AI19" s="154"/>
      <c r="AJ19" s="152"/>
      <c r="AK19" s="153"/>
      <c r="AL19" s="153"/>
      <c r="AM19" s="154"/>
      <c r="AN19" s="152"/>
      <c r="AO19" s="153"/>
      <c r="AP19" s="153"/>
      <c r="AQ19" s="154"/>
      <c r="AR19" s="152"/>
      <c r="AS19" s="153"/>
      <c r="AT19" s="153"/>
      <c r="AU19" s="154"/>
      <c r="AV19" s="152"/>
      <c r="AW19" s="153"/>
      <c r="AX19" s="153"/>
      <c r="AY19" s="154"/>
      <c r="AZ19" s="152"/>
      <c r="BA19" s="153"/>
      <c r="BB19" s="153"/>
      <c r="BC19" s="154"/>
      <c r="BD19" s="152"/>
      <c r="BE19" s="153"/>
      <c r="BF19" s="153"/>
      <c r="BG19" s="154"/>
      <c r="BH19" s="152"/>
      <c r="BI19" s="153"/>
      <c r="BJ19" s="153"/>
      <c r="BK19" s="154"/>
      <c r="BL19" s="152"/>
      <c r="BM19" s="153"/>
      <c r="BN19" s="153"/>
      <c r="BO19" s="154"/>
      <c r="BP19" s="152"/>
      <c r="BQ19" s="153"/>
      <c r="BR19" s="153"/>
      <c r="BS19" s="154"/>
      <c r="BT19" s="152"/>
      <c r="BU19" s="153"/>
      <c r="BV19" s="153"/>
      <c r="BW19" s="154"/>
      <c r="BX19" s="152"/>
      <c r="BY19" s="153"/>
      <c r="BZ19" s="153"/>
      <c r="CA19" s="154"/>
      <c r="CB19" s="82"/>
      <c r="CC19" s="83"/>
    </row>
    <row r="20" spans="1:81" ht="17.25" customHeight="1" x14ac:dyDescent="0.25">
      <c r="A20" s="274" t="s">
        <v>107</v>
      </c>
      <c r="B20" s="276" t="s">
        <v>117</v>
      </c>
      <c r="C20" s="278" t="s">
        <v>25</v>
      </c>
      <c r="D20" s="278" t="s">
        <v>119</v>
      </c>
      <c r="E20" s="278">
        <v>1</v>
      </c>
      <c r="F20" s="280">
        <f>G20</f>
        <v>18576.565963212404</v>
      </c>
      <c r="G20" s="280">
        <f>(((1329645+170471+581026+15864771)*1.011)*1.004*1.0198)/1000</f>
        <v>18576.565963212404</v>
      </c>
      <c r="H20" s="282">
        <f>G20/G76</f>
        <v>6.4309937305749493E-2</v>
      </c>
      <c r="I20" s="284">
        <v>0</v>
      </c>
      <c r="J20" s="301">
        <f t="shared" ref="J20" si="2">I20*H20</f>
        <v>0</v>
      </c>
      <c r="K20" s="319">
        <v>45047</v>
      </c>
      <c r="L20" s="323">
        <v>45245</v>
      </c>
      <c r="M20" s="270"/>
      <c r="N20" s="270"/>
      <c r="O20" s="47" t="s">
        <v>26</v>
      </c>
      <c r="P20" s="74"/>
      <c r="Q20" s="75"/>
      <c r="R20" s="75"/>
      <c r="S20" s="76"/>
      <c r="T20" s="74"/>
      <c r="U20" s="75"/>
      <c r="V20" s="75"/>
      <c r="W20" s="76"/>
      <c r="X20" s="74"/>
      <c r="Y20" s="150"/>
      <c r="Z20" s="150"/>
      <c r="AA20" s="151"/>
      <c r="AB20" s="149"/>
      <c r="AC20" s="150"/>
      <c r="AD20" s="150"/>
      <c r="AE20" s="151"/>
      <c r="AF20" s="149"/>
      <c r="AG20" s="150"/>
      <c r="AH20" s="150"/>
      <c r="AI20" s="151"/>
      <c r="AJ20" s="149"/>
      <c r="AK20" s="150"/>
      <c r="AL20" s="150"/>
      <c r="AM20" s="151"/>
      <c r="AN20" s="149"/>
      <c r="AO20" s="150"/>
      <c r="AP20" s="150"/>
      <c r="AQ20" s="151"/>
      <c r="AR20" s="149"/>
      <c r="AS20" s="150"/>
      <c r="AT20" s="150"/>
      <c r="AU20" s="151"/>
      <c r="AV20" s="146">
        <v>6</v>
      </c>
      <c r="AW20" s="147">
        <v>8</v>
      </c>
      <c r="AX20" s="147">
        <v>10</v>
      </c>
      <c r="AY20" s="148">
        <v>12</v>
      </c>
      <c r="AZ20" s="146">
        <v>14</v>
      </c>
      <c r="BA20" s="147">
        <v>16</v>
      </c>
      <c r="BB20" s="147">
        <v>18</v>
      </c>
      <c r="BC20" s="148">
        <v>18</v>
      </c>
      <c r="BD20" s="146">
        <v>18</v>
      </c>
      <c r="BE20" s="147">
        <v>18</v>
      </c>
      <c r="BF20" s="147">
        <v>18</v>
      </c>
      <c r="BG20" s="148">
        <v>18</v>
      </c>
      <c r="BH20" s="146">
        <v>18</v>
      </c>
      <c r="BI20" s="147">
        <v>18</v>
      </c>
      <c r="BJ20" s="147">
        <v>18</v>
      </c>
      <c r="BK20" s="148">
        <v>18</v>
      </c>
      <c r="BL20" s="146">
        <v>18</v>
      </c>
      <c r="BM20" s="147">
        <v>18</v>
      </c>
      <c r="BN20" s="147">
        <v>18</v>
      </c>
      <c r="BO20" s="148">
        <v>18</v>
      </c>
      <c r="BP20" s="146">
        <v>18</v>
      </c>
      <c r="BQ20" s="147">
        <v>18</v>
      </c>
      <c r="BR20" s="147">
        <v>18</v>
      </c>
      <c r="BS20" s="148">
        <v>18</v>
      </c>
      <c r="BT20" s="146">
        <v>18</v>
      </c>
      <c r="BU20" s="147">
        <v>18</v>
      </c>
      <c r="BV20" s="150"/>
      <c r="BW20" s="151"/>
      <c r="BX20" s="149"/>
      <c r="BY20" s="150"/>
      <c r="BZ20" s="150"/>
      <c r="CA20" s="151"/>
      <c r="CB20" s="84"/>
      <c r="CC20" s="85"/>
    </row>
    <row r="21" spans="1:81" s="6" customFormat="1" ht="15.75" thickBot="1" x14ac:dyDescent="0.3">
      <c r="A21" s="275"/>
      <c r="B21" s="277"/>
      <c r="C21" s="279"/>
      <c r="D21" s="279"/>
      <c r="E21" s="279"/>
      <c r="F21" s="281"/>
      <c r="G21" s="281"/>
      <c r="H21" s="283"/>
      <c r="I21" s="285"/>
      <c r="J21" s="302"/>
      <c r="K21" s="320"/>
      <c r="L21" s="324"/>
      <c r="M21" s="271"/>
      <c r="N21" s="271"/>
      <c r="O21" s="48" t="s">
        <v>27</v>
      </c>
      <c r="P21" s="79"/>
      <c r="Q21" s="80"/>
      <c r="R21" s="80"/>
      <c r="S21" s="81"/>
      <c r="T21" s="79"/>
      <c r="U21" s="80"/>
      <c r="V21" s="80"/>
      <c r="W21" s="81"/>
      <c r="X21" s="79"/>
      <c r="Y21" s="153"/>
      <c r="Z21" s="153"/>
      <c r="AA21" s="154"/>
      <c r="AB21" s="152"/>
      <c r="AC21" s="153"/>
      <c r="AD21" s="153"/>
      <c r="AE21" s="154"/>
      <c r="AF21" s="152"/>
      <c r="AG21" s="153"/>
      <c r="AH21" s="153"/>
      <c r="AI21" s="154"/>
      <c r="AJ21" s="152"/>
      <c r="AK21" s="153"/>
      <c r="AL21" s="153"/>
      <c r="AM21" s="154"/>
      <c r="AN21" s="152"/>
      <c r="AO21" s="153"/>
      <c r="AP21" s="153"/>
      <c r="AQ21" s="154"/>
      <c r="AR21" s="152"/>
      <c r="AS21" s="153"/>
      <c r="AT21" s="153"/>
      <c r="AU21" s="154"/>
      <c r="AV21" s="152"/>
      <c r="AW21" s="153"/>
      <c r="AX21" s="153"/>
      <c r="AY21" s="154"/>
      <c r="AZ21" s="152"/>
      <c r="BA21" s="153"/>
      <c r="BB21" s="153"/>
      <c r="BC21" s="154"/>
      <c r="BD21" s="152"/>
      <c r="BE21" s="153"/>
      <c r="BF21" s="153"/>
      <c r="BG21" s="154"/>
      <c r="BH21" s="152"/>
      <c r="BI21" s="153"/>
      <c r="BJ21" s="153"/>
      <c r="BK21" s="154"/>
      <c r="BL21" s="152"/>
      <c r="BM21" s="153"/>
      <c r="BN21" s="153"/>
      <c r="BO21" s="154"/>
      <c r="BP21" s="152"/>
      <c r="BQ21" s="153"/>
      <c r="BR21" s="153"/>
      <c r="BS21" s="154"/>
      <c r="BT21" s="152"/>
      <c r="BU21" s="153"/>
      <c r="BV21" s="153"/>
      <c r="BW21" s="154"/>
      <c r="BX21" s="152"/>
      <c r="BY21" s="153"/>
      <c r="BZ21" s="153"/>
      <c r="CA21" s="154"/>
      <c r="CB21" s="82"/>
      <c r="CC21" s="83"/>
    </row>
    <row r="22" spans="1:81" x14ac:dyDescent="0.25">
      <c r="A22" s="274" t="s">
        <v>76</v>
      </c>
      <c r="B22" s="276" t="s">
        <v>116</v>
      </c>
      <c r="C22" s="278" t="s">
        <v>25</v>
      </c>
      <c r="D22" s="278" t="s">
        <v>119</v>
      </c>
      <c r="E22" s="278">
        <v>1</v>
      </c>
      <c r="F22" s="280">
        <f>G22</f>
        <v>6841.7940059594384</v>
      </c>
      <c r="G22" s="280">
        <f>(((882252+608258+4293228+825785)*1.011)*1.004*1.0198)/1000</f>
        <v>6841.7940059594384</v>
      </c>
      <c r="H22" s="282">
        <f>G22/G76</f>
        <v>2.3685504869599524E-2</v>
      </c>
      <c r="I22" s="284">
        <v>0</v>
      </c>
      <c r="J22" s="301">
        <f t="shared" ref="J22" si="3">I22*H22</f>
        <v>0</v>
      </c>
      <c r="K22" s="319">
        <v>45153</v>
      </c>
      <c r="L22" s="344">
        <v>45184</v>
      </c>
      <c r="M22" s="270"/>
      <c r="N22" s="270"/>
      <c r="O22" s="47" t="s">
        <v>26</v>
      </c>
      <c r="P22" s="74"/>
      <c r="Q22" s="75"/>
      <c r="R22" s="75"/>
      <c r="S22" s="76"/>
      <c r="T22" s="74"/>
      <c r="U22" s="75"/>
      <c r="V22" s="75"/>
      <c r="W22" s="76"/>
      <c r="X22" s="74"/>
      <c r="Y22" s="150"/>
      <c r="Z22" s="150"/>
      <c r="AA22" s="151"/>
      <c r="AB22" s="149"/>
      <c r="AC22" s="150"/>
      <c r="AD22" s="150"/>
      <c r="AE22" s="151"/>
      <c r="AF22" s="149"/>
      <c r="AG22" s="150"/>
      <c r="AH22" s="150"/>
      <c r="AI22" s="151"/>
      <c r="AJ22" s="149"/>
      <c r="AK22" s="150"/>
      <c r="AL22" s="150"/>
      <c r="AM22" s="151"/>
      <c r="AN22" s="149"/>
      <c r="AO22" s="150"/>
      <c r="AP22" s="150"/>
      <c r="AQ22" s="151"/>
      <c r="AR22" s="149"/>
      <c r="AS22" s="150"/>
      <c r="AT22" s="150"/>
      <c r="AU22" s="151"/>
      <c r="AV22" s="149"/>
      <c r="AW22" s="150"/>
      <c r="AX22" s="150"/>
      <c r="AY22" s="151"/>
      <c r="AZ22" s="149"/>
      <c r="BA22" s="150"/>
      <c r="BB22" s="150"/>
      <c r="BC22" s="151"/>
      <c r="BD22" s="149"/>
      <c r="BE22" s="150"/>
      <c r="BF22" s="150"/>
      <c r="BG22" s="151"/>
      <c r="BH22" s="149"/>
      <c r="BI22" s="150"/>
      <c r="BJ22" s="147">
        <v>3</v>
      </c>
      <c r="BK22" s="148">
        <v>3</v>
      </c>
      <c r="BL22" s="146">
        <v>3</v>
      </c>
      <c r="BM22" s="147">
        <v>3</v>
      </c>
      <c r="BN22" s="158"/>
      <c r="BO22" s="159"/>
      <c r="BP22" s="160"/>
      <c r="BQ22" s="158"/>
      <c r="BR22" s="158"/>
      <c r="BS22" s="159"/>
      <c r="BT22" s="160"/>
      <c r="BU22" s="158"/>
      <c r="BV22" s="158"/>
      <c r="BW22" s="159"/>
      <c r="BX22" s="160"/>
      <c r="BY22" s="158"/>
      <c r="BZ22" s="158"/>
      <c r="CA22" s="159"/>
      <c r="CB22" s="84"/>
      <c r="CC22" s="85"/>
    </row>
    <row r="23" spans="1:81" s="6" customFormat="1" ht="15.75" thickBot="1" x14ac:dyDescent="0.3">
      <c r="A23" s="275"/>
      <c r="B23" s="277"/>
      <c r="C23" s="279"/>
      <c r="D23" s="279"/>
      <c r="E23" s="279"/>
      <c r="F23" s="281"/>
      <c r="G23" s="281"/>
      <c r="H23" s="283"/>
      <c r="I23" s="285"/>
      <c r="J23" s="302"/>
      <c r="K23" s="320"/>
      <c r="L23" s="345"/>
      <c r="M23" s="271"/>
      <c r="N23" s="271"/>
      <c r="O23" s="48" t="s">
        <v>27</v>
      </c>
      <c r="P23" s="79"/>
      <c r="Q23" s="80"/>
      <c r="R23" s="80"/>
      <c r="S23" s="81"/>
      <c r="T23" s="79"/>
      <c r="U23" s="80"/>
      <c r="V23" s="80"/>
      <c r="W23" s="81"/>
      <c r="X23" s="79"/>
      <c r="Y23" s="153"/>
      <c r="Z23" s="153"/>
      <c r="AA23" s="154"/>
      <c r="AB23" s="152"/>
      <c r="AC23" s="153"/>
      <c r="AD23" s="153"/>
      <c r="AE23" s="154"/>
      <c r="AF23" s="152"/>
      <c r="AG23" s="153"/>
      <c r="AH23" s="153"/>
      <c r="AI23" s="154"/>
      <c r="AJ23" s="152"/>
      <c r="AK23" s="153"/>
      <c r="AL23" s="153"/>
      <c r="AM23" s="154"/>
      <c r="AN23" s="152"/>
      <c r="AO23" s="153"/>
      <c r="AP23" s="153"/>
      <c r="AQ23" s="154"/>
      <c r="AR23" s="152"/>
      <c r="AS23" s="153"/>
      <c r="AT23" s="153"/>
      <c r="AU23" s="154"/>
      <c r="AV23" s="152"/>
      <c r="AW23" s="153"/>
      <c r="AX23" s="153"/>
      <c r="AY23" s="154"/>
      <c r="AZ23" s="152"/>
      <c r="BA23" s="153"/>
      <c r="BB23" s="153"/>
      <c r="BC23" s="154"/>
      <c r="BD23" s="152"/>
      <c r="BE23" s="153"/>
      <c r="BF23" s="153"/>
      <c r="BG23" s="154"/>
      <c r="BH23" s="152"/>
      <c r="BI23" s="153"/>
      <c r="BJ23" s="153"/>
      <c r="BK23" s="154"/>
      <c r="BL23" s="152"/>
      <c r="BM23" s="153"/>
      <c r="BN23" s="153"/>
      <c r="BO23" s="154"/>
      <c r="BP23" s="152"/>
      <c r="BQ23" s="153"/>
      <c r="BR23" s="153"/>
      <c r="BS23" s="154"/>
      <c r="BT23" s="152"/>
      <c r="BU23" s="153"/>
      <c r="BV23" s="153"/>
      <c r="BW23" s="154"/>
      <c r="BX23" s="152"/>
      <c r="BY23" s="153"/>
      <c r="BZ23" s="153"/>
      <c r="CA23" s="154"/>
      <c r="CB23" s="82"/>
      <c r="CC23" s="83"/>
    </row>
    <row r="24" spans="1:81" x14ac:dyDescent="0.25">
      <c r="A24" s="274" t="s">
        <v>77</v>
      </c>
      <c r="B24" s="317" t="s">
        <v>114</v>
      </c>
      <c r="C24" s="342" t="s">
        <v>25</v>
      </c>
      <c r="D24" s="278" t="s">
        <v>119</v>
      </c>
      <c r="E24" s="278">
        <v>1</v>
      </c>
      <c r="F24" s="280">
        <f>G24</f>
        <v>43410.913380639402</v>
      </c>
      <c r="G24" s="280">
        <f>(((16352239+6921826+18544560+118538)*1.011)*1.004*1.0198)/1000</f>
        <v>43410.913380639402</v>
      </c>
      <c r="H24" s="282">
        <f>G24/G76</f>
        <v>0.15028359511778516</v>
      </c>
      <c r="I24" s="284">
        <v>0</v>
      </c>
      <c r="J24" s="301">
        <f t="shared" ref="J24" si="4">I24*H24</f>
        <v>0</v>
      </c>
      <c r="K24" s="319">
        <v>45017</v>
      </c>
      <c r="L24" s="323">
        <v>45169</v>
      </c>
      <c r="M24" s="372"/>
      <c r="N24" s="372"/>
      <c r="O24" s="49" t="s">
        <v>26</v>
      </c>
      <c r="P24" s="74"/>
      <c r="Q24" s="75"/>
      <c r="R24" s="75"/>
      <c r="S24" s="76"/>
      <c r="T24" s="74"/>
      <c r="U24" s="75"/>
      <c r="V24" s="75"/>
      <c r="W24" s="76"/>
      <c r="X24" s="74"/>
      <c r="Y24" s="150"/>
      <c r="Z24" s="150"/>
      <c r="AA24" s="151"/>
      <c r="AB24" s="149"/>
      <c r="AC24" s="150"/>
      <c r="AD24" s="150"/>
      <c r="AE24" s="151"/>
      <c r="AF24" s="149"/>
      <c r="AG24" s="150"/>
      <c r="AH24" s="150"/>
      <c r="AI24" s="151"/>
      <c r="AJ24" s="149"/>
      <c r="AK24" s="150"/>
      <c r="AL24" s="150"/>
      <c r="AM24" s="151"/>
      <c r="AN24" s="149"/>
      <c r="AO24" s="150"/>
      <c r="AP24" s="150"/>
      <c r="AQ24" s="151"/>
      <c r="AR24" s="146">
        <v>4</v>
      </c>
      <c r="AS24" s="147">
        <v>4</v>
      </c>
      <c r="AT24" s="147">
        <v>4</v>
      </c>
      <c r="AU24" s="148">
        <v>4</v>
      </c>
      <c r="AV24" s="146">
        <v>6</v>
      </c>
      <c r="AW24" s="147">
        <v>6</v>
      </c>
      <c r="AX24" s="147">
        <v>6</v>
      </c>
      <c r="AY24" s="148">
        <v>6</v>
      </c>
      <c r="AZ24" s="146">
        <v>6</v>
      </c>
      <c r="BA24" s="147">
        <v>6</v>
      </c>
      <c r="BB24" s="147">
        <v>6</v>
      </c>
      <c r="BC24" s="148">
        <v>6</v>
      </c>
      <c r="BD24" s="146">
        <v>6</v>
      </c>
      <c r="BE24" s="147">
        <v>6</v>
      </c>
      <c r="BF24" s="147">
        <v>6</v>
      </c>
      <c r="BG24" s="148">
        <v>6</v>
      </c>
      <c r="BH24" s="146">
        <v>6</v>
      </c>
      <c r="BI24" s="147">
        <v>6</v>
      </c>
      <c r="BJ24" s="147">
        <v>6</v>
      </c>
      <c r="BK24" s="148">
        <v>6</v>
      </c>
      <c r="BL24" s="149"/>
      <c r="BM24" s="150"/>
      <c r="BN24" s="150"/>
      <c r="BO24" s="151"/>
      <c r="BP24" s="149"/>
      <c r="BQ24" s="150"/>
      <c r="BR24" s="150"/>
      <c r="BS24" s="151"/>
      <c r="BT24" s="149"/>
      <c r="BU24" s="150"/>
      <c r="BV24" s="150"/>
      <c r="BW24" s="151"/>
      <c r="BX24" s="149"/>
      <c r="BY24" s="150"/>
      <c r="BZ24" s="150"/>
      <c r="CA24" s="151"/>
      <c r="CB24" s="77"/>
      <c r="CC24" s="78"/>
    </row>
    <row r="25" spans="1:81" s="6" customFormat="1" ht="15.75" thickBot="1" x14ac:dyDescent="0.3">
      <c r="A25" s="275"/>
      <c r="B25" s="318"/>
      <c r="C25" s="343"/>
      <c r="D25" s="279"/>
      <c r="E25" s="279"/>
      <c r="F25" s="281"/>
      <c r="G25" s="281"/>
      <c r="H25" s="283"/>
      <c r="I25" s="285"/>
      <c r="J25" s="302"/>
      <c r="K25" s="320"/>
      <c r="L25" s="324"/>
      <c r="M25" s="373"/>
      <c r="N25" s="373"/>
      <c r="O25" s="50" t="s">
        <v>27</v>
      </c>
      <c r="P25" s="79"/>
      <c r="Q25" s="80"/>
      <c r="R25" s="80"/>
      <c r="S25" s="81"/>
      <c r="T25" s="79"/>
      <c r="U25" s="80"/>
      <c r="V25" s="80"/>
      <c r="W25" s="81"/>
      <c r="X25" s="79"/>
      <c r="Y25" s="153"/>
      <c r="Z25" s="153"/>
      <c r="AA25" s="154"/>
      <c r="AB25" s="152"/>
      <c r="AC25" s="153"/>
      <c r="AD25" s="153"/>
      <c r="AE25" s="154"/>
      <c r="AF25" s="152"/>
      <c r="AG25" s="153"/>
      <c r="AH25" s="153"/>
      <c r="AI25" s="154"/>
      <c r="AJ25" s="152"/>
      <c r="AK25" s="153"/>
      <c r="AL25" s="153"/>
      <c r="AM25" s="154"/>
      <c r="AN25" s="152"/>
      <c r="AO25" s="153"/>
      <c r="AP25" s="153"/>
      <c r="AQ25" s="154"/>
      <c r="AR25" s="152"/>
      <c r="AS25" s="153"/>
      <c r="AT25" s="153"/>
      <c r="AU25" s="154"/>
      <c r="AV25" s="152"/>
      <c r="AW25" s="153"/>
      <c r="AX25" s="153"/>
      <c r="AY25" s="154"/>
      <c r="AZ25" s="152"/>
      <c r="BA25" s="153"/>
      <c r="BB25" s="153"/>
      <c r="BC25" s="154"/>
      <c r="BD25" s="152"/>
      <c r="BE25" s="153"/>
      <c r="BF25" s="153"/>
      <c r="BG25" s="154"/>
      <c r="BH25" s="152"/>
      <c r="BI25" s="153"/>
      <c r="BJ25" s="153"/>
      <c r="BK25" s="154"/>
      <c r="BL25" s="152"/>
      <c r="BM25" s="153"/>
      <c r="BN25" s="153"/>
      <c r="BO25" s="154"/>
      <c r="BP25" s="152"/>
      <c r="BQ25" s="153"/>
      <c r="BR25" s="153"/>
      <c r="BS25" s="154"/>
      <c r="BT25" s="152"/>
      <c r="BU25" s="153"/>
      <c r="BV25" s="153"/>
      <c r="BW25" s="154"/>
      <c r="BX25" s="152"/>
      <c r="BY25" s="153"/>
      <c r="BZ25" s="153"/>
      <c r="CA25" s="154"/>
      <c r="CB25" s="82"/>
      <c r="CC25" s="83"/>
    </row>
    <row r="26" spans="1:81" s="6" customFormat="1" x14ac:dyDescent="0.25">
      <c r="A26" s="274" t="s">
        <v>78</v>
      </c>
      <c r="B26" s="276" t="s">
        <v>111</v>
      </c>
      <c r="C26" s="278" t="s">
        <v>25</v>
      </c>
      <c r="D26" s="278" t="s">
        <v>119</v>
      </c>
      <c r="E26" s="278">
        <v>1</v>
      </c>
      <c r="F26" s="280">
        <f>G26</f>
        <v>11124.754169999998</v>
      </c>
      <c r="G26" s="280">
        <f>(7706877.5+3144794.88+273081.79)/1000</f>
        <v>11124.754169999998</v>
      </c>
      <c r="H26" s="282">
        <f>G26/G76</f>
        <v>3.8512620934965151E-2</v>
      </c>
      <c r="I26" s="284">
        <v>0</v>
      </c>
      <c r="J26" s="301">
        <f t="shared" ref="J26" si="5">I26*H26</f>
        <v>0</v>
      </c>
      <c r="K26" s="319">
        <v>45017</v>
      </c>
      <c r="L26" s="364">
        <v>45199</v>
      </c>
      <c r="M26" s="270"/>
      <c r="N26" s="270"/>
      <c r="O26" s="47" t="s">
        <v>26</v>
      </c>
      <c r="P26" s="74"/>
      <c r="Q26" s="75"/>
      <c r="R26" s="75"/>
      <c r="S26" s="76"/>
      <c r="T26" s="74"/>
      <c r="U26" s="75"/>
      <c r="V26" s="75"/>
      <c r="W26" s="76"/>
      <c r="X26" s="74"/>
      <c r="Y26" s="150"/>
      <c r="Z26" s="150"/>
      <c r="AA26" s="151"/>
      <c r="AB26" s="149"/>
      <c r="AC26" s="150"/>
      <c r="AD26" s="150"/>
      <c r="AE26" s="151"/>
      <c r="AF26" s="149"/>
      <c r="AG26" s="150"/>
      <c r="AH26" s="150"/>
      <c r="AI26" s="151"/>
      <c r="AJ26" s="149"/>
      <c r="AK26" s="150"/>
      <c r="AL26" s="150"/>
      <c r="AM26" s="151"/>
      <c r="AN26" s="149"/>
      <c r="AO26" s="150"/>
      <c r="AP26" s="150"/>
      <c r="AQ26" s="151"/>
      <c r="AR26" s="146">
        <v>4</v>
      </c>
      <c r="AS26" s="147">
        <v>4</v>
      </c>
      <c r="AT26" s="147">
        <v>4</v>
      </c>
      <c r="AU26" s="148">
        <v>4</v>
      </c>
      <c r="AV26" s="146">
        <v>6</v>
      </c>
      <c r="AW26" s="147">
        <v>6</v>
      </c>
      <c r="AX26" s="147">
        <v>6</v>
      </c>
      <c r="AY26" s="148">
        <v>6</v>
      </c>
      <c r="AZ26" s="146">
        <v>6</v>
      </c>
      <c r="BA26" s="147">
        <v>6</v>
      </c>
      <c r="BB26" s="147">
        <v>6</v>
      </c>
      <c r="BC26" s="148">
        <v>6</v>
      </c>
      <c r="BD26" s="146">
        <v>6</v>
      </c>
      <c r="BE26" s="147">
        <v>6</v>
      </c>
      <c r="BF26" s="147">
        <v>6</v>
      </c>
      <c r="BG26" s="148">
        <v>6</v>
      </c>
      <c r="BH26" s="146">
        <v>6</v>
      </c>
      <c r="BI26" s="147">
        <v>6</v>
      </c>
      <c r="BJ26" s="147">
        <v>6</v>
      </c>
      <c r="BK26" s="148">
        <v>6</v>
      </c>
      <c r="BL26" s="146">
        <v>6</v>
      </c>
      <c r="BM26" s="147">
        <v>6</v>
      </c>
      <c r="BN26" s="147">
        <v>6</v>
      </c>
      <c r="BO26" s="148">
        <v>6</v>
      </c>
      <c r="BP26" s="149"/>
      <c r="BQ26" s="150"/>
      <c r="BR26" s="150"/>
      <c r="BS26" s="151"/>
      <c r="BT26" s="149"/>
      <c r="BU26" s="150"/>
      <c r="BV26" s="150"/>
      <c r="BW26" s="151"/>
      <c r="BX26" s="149"/>
      <c r="BY26" s="150"/>
      <c r="BZ26" s="150"/>
      <c r="CA26" s="151"/>
      <c r="CB26" s="86"/>
      <c r="CC26" s="87"/>
    </row>
    <row r="27" spans="1:81" s="6" customFormat="1" ht="27" customHeight="1" thickBot="1" x14ac:dyDescent="0.3">
      <c r="A27" s="275"/>
      <c r="B27" s="277"/>
      <c r="C27" s="279"/>
      <c r="D27" s="279"/>
      <c r="E27" s="279"/>
      <c r="F27" s="281"/>
      <c r="G27" s="281"/>
      <c r="H27" s="283"/>
      <c r="I27" s="285"/>
      <c r="J27" s="302"/>
      <c r="K27" s="320"/>
      <c r="L27" s="365"/>
      <c r="M27" s="271"/>
      <c r="N27" s="271"/>
      <c r="O27" s="48" t="s">
        <v>27</v>
      </c>
      <c r="P27" s="79"/>
      <c r="Q27" s="80"/>
      <c r="R27" s="80"/>
      <c r="S27" s="81"/>
      <c r="T27" s="79"/>
      <c r="U27" s="80"/>
      <c r="V27" s="80"/>
      <c r="W27" s="81"/>
      <c r="X27" s="79"/>
      <c r="Y27" s="153"/>
      <c r="Z27" s="153"/>
      <c r="AA27" s="154"/>
      <c r="AB27" s="152"/>
      <c r="AC27" s="153"/>
      <c r="AD27" s="153"/>
      <c r="AE27" s="154"/>
      <c r="AF27" s="152"/>
      <c r="AG27" s="153"/>
      <c r="AH27" s="153"/>
      <c r="AI27" s="154"/>
      <c r="AJ27" s="152"/>
      <c r="AK27" s="153"/>
      <c r="AL27" s="153"/>
      <c r="AM27" s="154"/>
      <c r="AN27" s="152"/>
      <c r="AO27" s="153"/>
      <c r="AP27" s="153"/>
      <c r="AQ27" s="154"/>
      <c r="AR27" s="152"/>
      <c r="AS27" s="153"/>
      <c r="AT27" s="153"/>
      <c r="AU27" s="154"/>
      <c r="AV27" s="152"/>
      <c r="AW27" s="153"/>
      <c r="AX27" s="153"/>
      <c r="AY27" s="154"/>
      <c r="AZ27" s="152"/>
      <c r="BA27" s="153"/>
      <c r="BB27" s="153"/>
      <c r="BC27" s="154"/>
      <c r="BD27" s="152"/>
      <c r="BE27" s="153"/>
      <c r="BF27" s="153"/>
      <c r="BG27" s="154"/>
      <c r="BH27" s="152"/>
      <c r="BI27" s="153"/>
      <c r="BJ27" s="153"/>
      <c r="BK27" s="154"/>
      <c r="BL27" s="152"/>
      <c r="BM27" s="153"/>
      <c r="BN27" s="153"/>
      <c r="BO27" s="154"/>
      <c r="BP27" s="152"/>
      <c r="BQ27" s="153"/>
      <c r="BR27" s="153"/>
      <c r="BS27" s="154"/>
      <c r="BT27" s="152"/>
      <c r="BU27" s="153"/>
      <c r="BV27" s="153"/>
      <c r="BW27" s="154"/>
      <c r="BX27" s="152"/>
      <c r="BY27" s="153"/>
      <c r="BZ27" s="153"/>
      <c r="CA27" s="154"/>
      <c r="CB27" s="88"/>
      <c r="CC27" s="89"/>
    </row>
    <row r="28" spans="1:81" s="6" customFormat="1" x14ac:dyDescent="0.25">
      <c r="A28" s="274" t="s">
        <v>79</v>
      </c>
      <c r="B28" s="276" t="s">
        <v>109</v>
      </c>
      <c r="C28" s="278" t="s">
        <v>25</v>
      </c>
      <c r="D28" s="278" t="s">
        <v>119</v>
      </c>
      <c r="E28" s="278">
        <v>1</v>
      </c>
      <c r="F28" s="280">
        <f>G28</f>
        <v>8781.4361800000006</v>
      </c>
      <c r="G28" s="280">
        <f>(8702505.04+78931.14)/1000</f>
        <v>8781.4361800000006</v>
      </c>
      <c r="H28" s="282">
        <f>G28/G76</f>
        <v>3.0400323251810652E-2</v>
      </c>
      <c r="I28" s="284">
        <v>0</v>
      </c>
      <c r="J28" s="301">
        <f t="shared" ref="J28" si="6">I28*H28</f>
        <v>0</v>
      </c>
      <c r="K28" s="319">
        <v>45047</v>
      </c>
      <c r="L28" s="364">
        <v>45169</v>
      </c>
      <c r="M28" s="270"/>
      <c r="N28" s="270"/>
      <c r="O28" s="47" t="s">
        <v>26</v>
      </c>
      <c r="P28" s="74"/>
      <c r="Q28" s="75"/>
      <c r="R28" s="75"/>
      <c r="S28" s="76"/>
      <c r="T28" s="74"/>
      <c r="U28" s="75"/>
      <c r="V28" s="75"/>
      <c r="W28" s="76"/>
      <c r="X28" s="74"/>
      <c r="Y28" s="150"/>
      <c r="Z28" s="150"/>
      <c r="AA28" s="151"/>
      <c r="AB28" s="149"/>
      <c r="AC28" s="150"/>
      <c r="AD28" s="150"/>
      <c r="AE28" s="151"/>
      <c r="AF28" s="149"/>
      <c r="AG28" s="150"/>
      <c r="AH28" s="150"/>
      <c r="AI28" s="151"/>
      <c r="AJ28" s="149"/>
      <c r="AK28" s="150"/>
      <c r="AL28" s="150"/>
      <c r="AM28" s="151"/>
      <c r="AN28" s="149"/>
      <c r="AO28" s="150"/>
      <c r="AP28" s="150"/>
      <c r="AQ28" s="151"/>
      <c r="AR28" s="149"/>
      <c r="AS28" s="150"/>
      <c r="AT28" s="150"/>
      <c r="AU28" s="151"/>
      <c r="AV28" s="146">
        <v>2</v>
      </c>
      <c r="AW28" s="147">
        <v>2</v>
      </c>
      <c r="AX28" s="147">
        <v>2</v>
      </c>
      <c r="AY28" s="148">
        <v>2</v>
      </c>
      <c r="AZ28" s="146">
        <v>4</v>
      </c>
      <c r="BA28" s="147">
        <v>4</v>
      </c>
      <c r="BB28" s="147">
        <v>4</v>
      </c>
      <c r="BC28" s="148">
        <v>4</v>
      </c>
      <c r="BD28" s="146">
        <v>4</v>
      </c>
      <c r="BE28" s="147">
        <v>4</v>
      </c>
      <c r="BF28" s="147">
        <v>4</v>
      </c>
      <c r="BG28" s="148">
        <v>4</v>
      </c>
      <c r="BH28" s="146">
        <v>4</v>
      </c>
      <c r="BI28" s="147">
        <v>4</v>
      </c>
      <c r="BJ28" s="147">
        <v>4</v>
      </c>
      <c r="BK28" s="148">
        <v>4</v>
      </c>
      <c r="BL28" s="149"/>
      <c r="BM28" s="150"/>
      <c r="BN28" s="150"/>
      <c r="BO28" s="151"/>
      <c r="BP28" s="149"/>
      <c r="BQ28" s="150"/>
      <c r="BR28" s="150"/>
      <c r="BS28" s="151"/>
      <c r="BT28" s="149"/>
      <c r="BU28" s="150"/>
      <c r="BV28" s="150"/>
      <c r="BW28" s="151"/>
      <c r="BX28" s="149"/>
      <c r="BY28" s="150"/>
      <c r="BZ28" s="150"/>
      <c r="CA28" s="151"/>
      <c r="CB28" s="86"/>
      <c r="CC28" s="87"/>
    </row>
    <row r="29" spans="1:81" s="6" customFormat="1" ht="15.75" thickBot="1" x14ac:dyDescent="0.3">
      <c r="A29" s="275"/>
      <c r="B29" s="277"/>
      <c r="C29" s="279"/>
      <c r="D29" s="279"/>
      <c r="E29" s="279"/>
      <c r="F29" s="281"/>
      <c r="G29" s="281"/>
      <c r="H29" s="283"/>
      <c r="I29" s="285"/>
      <c r="J29" s="302"/>
      <c r="K29" s="320"/>
      <c r="L29" s="365"/>
      <c r="M29" s="271"/>
      <c r="N29" s="271"/>
      <c r="O29" s="48" t="s">
        <v>27</v>
      </c>
      <c r="P29" s="79"/>
      <c r="Q29" s="80"/>
      <c r="R29" s="80"/>
      <c r="S29" s="81"/>
      <c r="T29" s="79"/>
      <c r="U29" s="80"/>
      <c r="V29" s="80"/>
      <c r="W29" s="81"/>
      <c r="X29" s="79"/>
      <c r="Y29" s="153"/>
      <c r="Z29" s="153"/>
      <c r="AA29" s="154"/>
      <c r="AB29" s="152"/>
      <c r="AC29" s="153"/>
      <c r="AD29" s="153"/>
      <c r="AE29" s="154"/>
      <c r="AF29" s="152"/>
      <c r="AG29" s="153"/>
      <c r="AH29" s="153"/>
      <c r="AI29" s="154"/>
      <c r="AJ29" s="152"/>
      <c r="AK29" s="153"/>
      <c r="AL29" s="153"/>
      <c r="AM29" s="154"/>
      <c r="AN29" s="152"/>
      <c r="AO29" s="153"/>
      <c r="AP29" s="153"/>
      <c r="AQ29" s="154"/>
      <c r="AR29" s="152"/>
      <c r="AS29" s="153"/>
      <c r="AT29" s="153"/>
      <c r="AU29" s="154"/>
      <c r="AV29" s="152"/>
      <c r="AW29" s="153"/>
      <c r="AX29" s="153"/>
      <c r="AY29" s="154"/>
      <c r="AZ29" s="152"/>
      <c r="BA29" s="153"/>
      <c r="BB29" s="153"/>
      <c r="BC29" s="154"/>
      <c r="BD29" s="152"/>
      <c r="BE29" s="153"/>
      <c r="BF29" s="153"/>
      <c r="BG29" s="154"/>
      <c r="BH29" s="152"/>
      <c r="BI29" s="153"/>
      <c r="BJ29" s="153"/>
      <c r="BK29" s="154"/>
      <c r="BL29" s="152"/>
      <c r="BM29" s="153"/>
      <c r="BN29" s="153"/>
      <c r="BO29" s="154"/>
      <c r="BP29" s="152"/>
      <c r="BQ29" s="153"/>
      <c r="BR29" s="153"/>
      <c r="BS29" s="154"/>
      <c r="BT29" s="152"/>
      <c r="BU29" s="153"/>
      <c r="BV29" s="153"/>
      <c r="BW29" s="154"/>
      <c r="BX29" s="152"/>
      <c r="BY29" s="153"/>
      <c r="BZ29" s="153"/>
      <c r="CA29" s="154"/>
      <c r="CB29" s="88"/>
      <c r="CC29" s="89"/>
    </row>
    <row r="30" spans="1:81" x14ac:dyDescent="0.25">
      <c r="A30" s="274" t="s">
        <v>80</v>
      </c>
      <c r="B30" s="276" t="s">
        <v>65</v>
      </c>
      <c r="C30" s="278" t="s">
        <v>25</v>
      </c>
      <c r="D30" s="278" t="s">
        <v>119</v>
      </c>
      <c r="E30" s="278">
        <v>1</v>
      </c>
      <c r="F30" s="280">
        <f>G30</f>
        <v>1537.4034299999998</v>
      </c>
      <c r="G30" s="280">
        <f>1537403.43/1000</f>
        <v>1537.4034299999998</v>
      </c>
      <c r="H30" s="282">
        <f>G30/G76</f>
        <v>5.3223140591613849E-3</v>
      </c>
      <c r="I30" s="284">
        <v>0</v>
      </c>
      <c r="J30" s="301">
        <f t="shared" ref="J30" si="7">I30*H30</f>
        <v>0</v>
      </c>
      <c r="K30" s="319">
        <v>45108</v>
      </c>
      <c r="L30" s="321">
        <v>45169</v>
      </c>
      <c r="M30" s="270"/>
      <c r="N30" s="270"/>
      <c r="O30" s="47" t="s">
        <v>26</v>
      </c>
      <c r="P30" s="74"/>
      <c r="Q30" s="75"/>
      <c r="R30" s="75"/>
      <c r="S30" s="76"/>
      <c r="T30" s="74"/>
      <c r="U30" s="75"/>
      <c r="V30" s="75"/>
      <c r="W30" s="76"/>
      <c r="X30" s="74"/>
      <c r="Y30" s="150"/>
      <c r="Z30" s="150"/>
      <c r="AA30" s="151"/>
      <c r="AB30" s="149"/>
      <c r="AC30" s="150"/>
      <c r="AD30" s="150"/>
      <c r="AE30" s="151"/>
      <c r="AF30" s="149"/>
      <c r="AG30" s="150"/>
      <c r="AH30" s="150"/>
      <c r="AI30" s="151"/>
      <c r="AJ30" s="149"/>
      <c r="AK30" s="150"/>
      <c r="AL30" s="150"/>
      <c r="AM30" s="151"/>
      <c r="AN30" s="149"/>
      <c r="AO30" s="150"/>
      <c r="AP30" s="150"/>
      <c r="AQ30" s="151"/>
      <c r="AR30" s="149"/>
      <c r="AS30" s="150"/>
      <c r="AT30" s="150"/>
      <c r="AU30" s="151"/>
      <c r="AV30" s="149"/>
      <c r="AW30" s="150"/>
      <c r="AX30" s="150"/>
      <c r="AY30" s="151"/>
      <c r="AZ30" s="149"/>
      <c r="BA30" s="150"/>
      <c r="BB30" s="150"/>
      <c r="BC30" s="151"/>
      <c r="BD30" s="146">
        <v>4</v>
      </c>
      <c r="BE30" s="147">
        <v>4</v>
      </c>
      <c r="BF30" s="147">
        <v>4</v>
      </c>
      <c r="BG30" s="148">
        <v>4</v>
      </c>
      <c r="BH30" s="146">
        <v>4</v>
      </c>
      <c r="BI30" s="147">
        <v>4</v>
      </c>
      <c r="BJ30" s="147">
        <v>4</v>
      </c>
      <c r="BK30" s="148">
        <v>4</v>
      </c>
      <c r="BL30" s="149"/>
      <c r="BM30" s="150"/>
      <c r="BN30" s="150"/>
      <c r="BO30" s="151"/>
      <c r="BP30" s="155"/>
      <c r="BQ30" s="156"/>
      <c r="BR30" s="156"/>
      <c r="BS30" s="157"/>
      <c r="BT30" s="155"/>
      <c r="BU30" s="156"/>
      <c r="BV30" s="156"/>
      <c r="BW30" s="157"/>
      <c r="BX30" s="155"/>
      <c r="BY30" s="156"/>
      <c r="BZ30" s="156"/>
      <c r="CA30" s="157"/>
      <c r="CB30" s="84"/>
      <c r="CC30" s="85"/>
    </row>
    <row r="31" spans="1:81" s="6" customFormat="1" ht="15.75" thickBot="1" x14ac:dyDescent="0.3">
      <c r="A31" s="275"/>
      <c r="B31" s="277"/>
      <c r="C31" s="279"/>
      <c r="D31" s="279"/>
      <c r="E31" s="279"/>
      <c r="F31" s="281"/>
      <c r="G31" s="281"/>
      <c r="H31" s="283"/>
      <c r="I31" s="285"/>
      <c r="J31" s="302"/>
      <c r="K31" s="320"/>
      <c r="L31" s="322"/>
      <c r="M31" s="271"/>
      <c r="N31" s="271"/>
      <c r="O31" s="48" t="s">
        <v>27</v>
      </c>
      <c r="P31" s="79"/>
      <c r="Q31" s="80"/>
      <c r="R31" s="80"/>
      <c r="S31" s="81"/>
      <c r="T31" s="79"/>
      <c r="U31" s="80"/>
      <c r="V31" s="80"/>
      <c r="W31" s="81"/>
      <c r="X31" s="79"/>
      <c r="Y31" s="153"/>
      <c r="Z31" s="153"/>
      <c r="AA31" s="154"/>
      <c r="AB31" s="152"/>
      <c r="AC31" s="153"/>
      <c r="AD31" s="153"/>
      <c r="AE31" s="154"/>
      <c r="AF31" s="152"/>
      <c r="AG31" s="153"/>
      <c r="AH31" s="153"/>
      <c r="AI31" s="154"/>
      <c r="AJ31" s="152"/>
      <c r="AK31" s="153"/>
      <c r="AL31" s="153"/>
      <c r="AM31" s="154"/>
      <c r="AN31" s="152"/>
      <c r="AO31" s="153"/>
      <c r="AP31" s="153"/>
      <c r="AQ31" s="154"/>
      <c r="AR31" s="152"/>
      <c r="AS31" s="153"/>
      <c r="AT31" s="153"/>
      <c r="AU31" s="154"/>
      <c r="AV31" s="152"/>
      <c r="AW31" s="153"/>
      <c r="AX31" s="153"/>
      <c r="AY31" s="154"/>
      <c r="AZ31" s="152"/>
      <c r="BA31" s="153"/>
      <c r="BB31" s="153"/>
      <c r="BC31" s="154"/>
      <c r="BD31" s="152"/>
      <c r="BE31" s="153"/>
      <c r="BF31" s="153"/>
      <c r="BG31" s="154"/>
      <c r="BH31" s="152"/>
      <c r="BI31" s="153"/>
      <c r="BJ31" s="153"/>
      <c r="BK31" s="154"/>
      <c r="BL31" s="152"/>
      <c r="BM31" s="153"/>
      <c r="BN31" s="153"/>
      <c r="BO31" s="154"/>
      <c r="BP31" s="152"/>
      <c r="BQ31" s="153"/>
      <c r="BR31" s="153"/>
      <c r="BS31" s="154"/>
      <c r="BT31" s="152"/>
      <c r="BU31" s="153"/>
      <c r="BV31" s="153"/>
      <c r="BW31" s="154"/>
      <c r="BX31" s="152"/>
      <c r="BY31" s="153"/>
      <c r="BZ31" s="153"/>
      <c r="CA31" s="154"/>
      <c r="CB31" s="82"/>
      <c r="CC31" s="83"/>
    </row>
    <row r="32" spans="1:81" x14ac:dyDescent="0.25">
      <c r="A32" s="274" t="s">
        <v>81</v>
      </c>
      <c r="B32" s="276" t="s">
        <v>110</v>
      </c>
      <c r="C32" s="278" t="s">
        <v>25</v>
      </c>
      <c r="D32" s="278" t="s">
        <v>119</v>
      </c>
      <c r="E32" s="278">
        <v>1</v>
      </c>
      <c r="F32" s="280">
        <f>G32</f>
        <v>17307.304110000001</v>
      </c>
      <c r="G32" s="280">
        <f>(15459208.65+1848095.46)/1000</f>
        <v>17307.304110000001</v>
      </c>
      <c r="H32" s="282">
        <f>G32/G76</f>
        <v>5.99158985815679E-2</v>
      </c>
      <c r="I32" s="284">
        <v>0</v>
      </c>
      <c r="J32" s="301">
        <f t="shared" ref="J32" si="8">I32*H32</f>
        <v>0</v>
      </c>
      <c r="K32" s="319">
        <v>45017</v>
      </c>
      <c r="L32" s="321">
        <v>45169</v>
      </c>
      <c r="M32" s="270"/>
      <c r="N32" s="270"/>
      <c r="O32" s="47" t="s">
        <v>26</v>
      </c>
      <c r="P32" s="74"/>
      <c r="Q32" s="75"/>
      <c r="R32" s="75"/>
      <c r="S32" s="76"/>
      <c r="T32" s="74"/>
      <c r="U32" s="75"/>
      <c r="V32" s="75"/>
      <c r="W32" s="76"/>
      <c r="X32" s="74"/>
      <c r="Y32" s="150"/>
      <c r="Z32" s="150"/>
      <c r="AA32" s="151"/>
      <c r="AB32" s="149"/>
      <c r="AC32" s="150"/>
      <c r="AD32" s="150"/>
      <c r="AE32" s="151"/>
      <c r="AF32" s="149"/>
      <c r="AG32" s="150"/>
      <c r="AH32" s="150"/>
      <c r="AI32" s="151"/>
      <c r="AJ32" s="149"/>
      <c r="AK32" s="150"/>
      <c r="AL32" s="150"/>
      <c r="AM32" s="151"/>
      <c r="AN32" s="149"/>
      <c r="AO32" s="150"/>
      <c r="AP32" s="150"/>
      <c r="AQ32" s="151"/>
      <c r="AR32" s="146">
        <v>4</v>
      </c>
      <c r="AS32" s="147">
        <v>4</v>
      </c>
      <c r="AT32" s="147">
        <v>4</v>
      </c>
      <c r="AU32" s="148">
        <v>4</v>
      </c>
      <c r="AV32" s="146">
        <v>6</v>
      </c>
      <c r="AW32" s="147">
        <v>6</v>
      </c>
      <c r="AX32" s="147">
        <v>6</v>
      </c>
      <c r="AY32" s="148">
        <v>6</v>
      </c>
      <c r="AZ32" s="146">
        <v>6</v>
      </c>
      <c r="BA32" s="147">
        <v>6</v>
      </c>
      <c r="BB32" s="147">
        <v>6</v>
      </c>
      <c r="BC32" s="148">
        <v>6</v>
      </c>
      <c r="BD32" s="146">
        <v>6</v>
      </c>
      <c r="BE32" s="147">
        <v>6</v>
      </c>
      <c r="BF32" s="147">
        <v>6</v>
      </c>
      <c r="BG32" s="148">
        <v>6</v>
      </c>
      <c r="BH32" s="146">
        <v>6</v>
      </c>
      <c r="BI32" s="147">
        <v>6</v>
      </c>
      <c r="BJ32" s="147">
        <v>6</v>
      </c>
      <c r="BK32" s="148">
        <v>6</v>
      </c>
      <c r="BL32" s="149"/>
      <c r="BM32" s="158"/>
      <c r="BN32" s="158"/>
      <c r="BO32" s="159"/>
      <c r="BP32" s="160"/>
      <c r="BQ32" s="158"/>
      <c r="BR32" s="158"/>
      <c r="BS32" s="157"/>
      <c r="BT32" s="160"/>
      <c r="BU32" s="158"/>
      <c r="BV32" s="158"/>
      <c r="BW32" s="157"/>
      <c r="BX32" s="160"/>
      <c r="BY32" s="158"/>
      <c r="BZ32" s="158"/>
      <c r="CA32" s="157"/>
      <c r="CB32" s="84"/>
      <c r="CC32" s="85"/>
    </row>
    <row r="33" spans="1:81" s="6" customFormat="1" ht="15.75" thickBot="1" x14ac:dyDescent="0.3">
      <c r="A33" s="275"/>
      <c r="B33" s="277"/>
      <c r="C33" s="279"/>
      <c r="D33" s="279"/>
      <c r="E33" s="279"/>
      <c r="F33" s="281"/>
      <c r="G33" s="281"/>
      <c r="H33" s="283"/>
      <c r="I33" s="285"/>
      <c r="J33" s="302"/>
      <c r="K33" s="320"/>
      <c r="L33" s="322"/>
      <c r="M33" s="271"/>
      <c r="N33" s="271"/>
      <c r="O33" s="48" t="s">
        <v>27</v>
      </c>
      <c r="P33" s="79"/>
      <c r="Q33" s="80"/>
      <c r="R33" s="80"/>
      <c r="S33" s="81"/>
      <c r="T33" s="79"/>
      <c r="U33" s="80"/>
      <c r="V33" s="80"/>
      <c r="W33" s="81"/>
      <c r="X33" s="79"/>
      <c r="Y33" s="153"/>
      <c r="Z33" s="153"/>
      <c r="AA33" s="154"/>
      <c r="AB33" s="152"/>
      <c r="AC33" s="153"/>
      <c r="AD33" s="153"/>
      <c r="AE33" s="154"/>
      <c r="AF33" s="152"/>
      <c r="AG33" s="153"/>
      <c r="AH33" s="153"/>
      <c r="AI33" s="154"/>
      <c r="AJ33" s="152"/>
      <c r="AK33" s="153"/>
      <c r="AL33" s="153"/>
      <c r="AM33" s="154"/>
      <c r="AN33" s="152"/>
      <c r="AO33" s="153"/>
      <c r="AP33" s="153"/>
      <c r="AQ33" s="154"/>
      <c r="AR33" s="152"/>
      <c r="AS33" s="153"/>
      <c r="AT33" s="153"/>
      <c r="AU33" s="154"/>
      <c r="AV33" s="152"/>
      <c r="AW33" s="153"/>
      <c r="AX33" s="153"/>
      <c r="AY33" s="154"/>
      <c r="AZ33" s="152"/>
      <c r="BA33" s="153"/>
      <c r="BB33" s="153"/>
      <c r="BC33" s="154"/>
      <c r="BD33" s="152"/>
      <c r="BE33" s="153"/>
      <c r="BF33" s="153"/>
      <c r="BG33" s="154"/>
      <c r="BH33" s="152"/>
      <c r="BI33" s="153"/>
      <c r="BJ33" s="153"/>
      <c r="BK33" s="154"/>
      <c r="BL33" s="152"/>
      <c r="BM33" s="153"/>
      <c r="BN33" s="153"/>
      <c r="BO33" s="154"/>
      <c r="BP33" s="152"/>
      <c r="BQ33" s="153"/>
      <c r="BR33" s="153"/>
      <c r="BS33" s="154"/>
      <c r="BT33" s="152"/>
      <c r="BU33" s="153"/>
      <c r="BV33" s="153"/>
      <c r="BW33" s="154"/>
      <c r="BX33" s="152"/>
      <c r="BY33" s="153"/>
      <c r="BZ33" s="153"/>
      <c r="CA33" s="154"/>
      <c r="CB33" s="82"/>
      <c r="CC33" s="83"/>
    </row>
    <row r="34" spans="1:81" s="6" customFormat="1" x14ac:dyDescent="0.25">
      <c r="A34" s="274" t="s">
        <v>82</v>
      </c>
      <c r="B34" s="276" t="s">
        <v>66</v>
      </c>
      <c r="C34" s="278" t="s">
        <v>25</v>
      </c>
      <c r="D34" s="278" t="s">
        <v>119</v>
      </c>
      <c r="E34" s="278">
        <v>1</v>
      </c>
      <c r="F34" s="280">
        <f>G34</f>
        <v>8874.3567199999998</v>
      </c>
      <c r="G34" s="280">
        <f>8874356.72/1000</f>
        <v>8874.3567199999998</v>
      </c>
      <c r="H34" s="282">
        <f>G34/G76</f>
        <v>3.0722003486664078E-2</v>
      </c>
      <c r="I34" s="284">
        <v>0</v>
      </c>
      <c r="J34" s="301">
        <f>I34*H34</f>
        <v>0</v>
      </c>
      <c r="K34" s="319">
        <v>45139</v>
      </c>
      <c r="L34" s="319">
        <v>45245</v>
      </c>
      <c r="M34" s="270"/>
      <c r="N34" s="270"/>
      <c r="O34" s="47" t="s">
        <v>26</v>
      </c>
      <c r="P34" s="74"/>
      <c r="Q34" s="75"/>
      <c r="R34" s="75"/>
      <c r="S34" s="76"/>
      <c r="T34" s="74"/>
      <c r="U34" s="75"/>
      <c r="V34" s="75"/>
      <c r="W34" s="76"/>
      <c r="X34" s="74"/>
      <c r="Y34" s="150"/>
      <c r="Z34" s="150"/>
      <c r="AA34" s="151"/>
      <c r="AB34" s="149"/>
      <c r="AC34" s="150"/>
      <c r="AD34" s="150"/>
      <c r="AE34" s="151"/>
      <c r="AF34" s="149"/>
      <c r="AG34" s="150"/>
      <c r="AH34" s="150"/>
      <c r="AI34" s="151"/>
      <c r="AJ34" s="149"/>
      <c r="AK34" s="150"/>
      <c r="AL34" s="150"/>
      <c r="AM34" s="151"/>
      <c r="AN34" s="149"/>
      <c r="AO34" s="150"/>
      <c r="AP34" s="150"/>
      <c r="AQ34" s="151"/>
      <c r="AR34" s="149"/>
      <c r="AS34" s="150"/>
      <c r="AT34" s="150"/>
      <c r="AU34" s="151"/>
      <c r="AV34" s="149"/>
      <c r="AW34" s="150"/>
      <c r="AX34" s="150"/>
      <c r="AY34" s="151"/>
      <c r="AZ34" s="149"/>
      <c r="BA34" s="150"/>
      <c r="BB34" s="150"/>
      <c r="BC34" s="151"/>
      <c r="BD34" s="149"/>
      <c r="BE34" s="150"/>
      <c r="BF34" s="150"/>
      <c r="BG34" s="151"/>
      <c r="BH34" s="146">
        <v>2</v>
      </c>
      <c r="BI34" s="147">
        <v>2</v>
      </c>
      <c r="BJ34" s="147">
        <v>2</v>
      </c>
      <c r="BK34" s="148">
        <v>2</v>
      </c>
      <c r="BL34" s="146">
        <v>2</v>
      </c>
      <c r="BM34" s="147">
        <v>2</v>
      </c>
      <c r="BN34" s="147">
        <v>2</v>
      </c>
      <c r="BO34" s="148">
        <v>2</v>
      </c>
      <c r="BP34" s="146">
        <v>2</v>
      </c>
      <c r="BQ34" s="147">
        <v>2</v>
      </c>
      <c r="BR34" s="147">
        <v>2</v>
      </c>
      <c r="BS34" s="148">
        <v>2</v>
      </c>
      <c r="BT34" s="146">
        <v>2</v>
      </c>
      <c r="BU34" s="147">
        <v>2</v>
      </c>
      <c r="BV34" s="150"/>
      <c r="BW34" s="151"/>
      <c r="BX34" s="149"/>
      <c r="BY34" s="150"/>
      <c r="BZ34" s="150"/>
      <c r="CA34" s="151"/>
      <c r="CB34" s="86"/>
      <c r="CC34" s="87"/>
    </row>
    <row r="35" spans="1:81" s="6" customFormat="1" ht="15.75" thickBot="1" x14ac:dyDescent="0.3">
      <c r="A35" s="275"/>
      <c r="B35" s="277"/>
      <c r="C35" s="279"/>
      <c r="D35" s="279"/>
      <c r="E35" s="279"/>
      <c r="F35" s="281"/>
      <c r="G35" s="281"/>
      <c r="H35" s="283"/>
      <c r="I35" s="285"/>
      <c r="J35" s="302"/>
      <c r="K35" s="320"/>
      <c r="L35" s="346"/>
      <c r="M35" s="271"/>
      <c r="N35" s="271"/>
      <c r="O35" s="48" t="s">
        <v>27</v>
      </c>
      <c r="P35" s="79"/>
      <c r="Q35" s="80"/>
      <c r="R35" s="80"/>
      <c r="S35" s="81"/>
      <c r="T35" s="79"/>
      <c r="U35" s="80"/>
      <c r="V35" s="80"/>
      <c r="W35" s="81"/>
      <c r="X35" s="79"/>
      <c r="Y35" s="153"/>
      <c r="Z35" s="153"/>
      <c r="AA35" s="154"/>
      <c r="AB35" s="152"/>
      <c r="AC35" s="153"/>
      <c r="AD35" s="153"/>
      <c r="AE35" s="154"/>
      <c r="AF35" s="152"/>
      <c r="AG35" s="153"/>
      <c r="AH35" s="153"/>
      <c r="AI35" s="154"/>
      <c r="AJ35" s="152"/>
      <c r="AK35" s="153"/>
      <c r="AL35" s="153"/>
      <c r="AM35" s="154"/>
      <c r="AN35" s="152"/>
      <c r="AO35" s="153"/>
      <c r="AP35" s="153"/>
      <c r="AQ35" s="154"/>
      <c r="AR35" s="152"/>
      <c r="AS35" s="153"/>
      <c r="AT35" s="153"/>
      <c r="AU35" s="154"/>
      <c r="AV35" s="152"/>
      <c r="AW35" s="153"/>
      <c r="AX35" s="153"/>
      <c r="AY35" s="154"/>
      <c r="AZ35" s="152"/>
      <c r="BA35" s="153"/>
      <c r="BB35" s="153"/>
      <c r="BC35" s="154"/>
      <c r="BD35" s="152"/>
      <c r="BE35" s="153"/>
      <c r="BF35" s="153"/>
      <c r="BG35" s="154"/>
      <c r="BH35" s="152"/>
      <c r="BI35" s="153"/>
      <c r="BJ35" s="153"/>
      <c r="BK35" s="154"/>
      <c r="BL35" s="152"/>
      <c r="BM35" s="153"/>
      <c r="BN35" s="153"/>
      <c r="BO35" s="154"/>
      <c r="BP35" s="152"/>
      <c r="BQ35" s="153"/>
      <c r="BR35" s="153"/>
      <c r="BS35" s="154"/>
      <c r="BT35" s="152"/>
      <c r="BU35" s="153"/>
      <c r="BV35" s="153"/>
      <c r="BW35" s="154"/>
      <c r="BX35" s="152"/>
      <c r="BY35" s="153"/>
      <c r="BZ35" s="153"/>
      <c r="CA35" s="154"/>
      <c r="CB35" s="88"/>
      <c r="CC35" s="89"/>
    </row>
    <row r="36" spans="1:81" x14ac:dyDescent="0.25">
      <c r="A36" s="274" t="s">
        <v>83</v>
      </c>
      <c r="B36" s="276" t="s">
        <v>64</v>
      </c>
      <c r="C36" s="278" t="s">
        <v>25</v>
      </c>
      <c r="D36" s="278" t="s">
        <v>119</v>
      </c>
      <c r="E36" s="278">
        <v>1</v>
      </c>
      <c r="F36" s="280">
        <f>G36</f>
        <v>6496.9715099999994</v>
      </c>
      <c r="G36" s="280">
        <f>6496971.51/1000</f>
        <v>6496.9715099999994</v>
      </c>
      <c r="H36" s="282">
        <f>G36/G76</f>
        <v>2.2491769001480613E-2</v>
      </c>
      <c r="I36" s="284">
        <v>0</v>
      </c>
      <c r="J36" s="301">
        <f t="shared" ref="J36" si="9">I36*H36</f>
        <v>0</v>
      </c>
      <c r="K36" s="319">
        <v>45047</v>
      </c>
      <c r="L36" s="323">
        <v>45169</v>
      </c>
      <c r="M36" s="270"/>
      <c r="N36" s="270"/>
      <c r="O36" s="47" t="s">
        <v>26</v>
      </c>
      <c r="P36" s="74"/>
      <c r="Q36" s="75"/>
      <c r="R36" s="75"/>
      <c r="S36" s="76"/>
      <c r="T36" s="74"/>
      <c r="U36" s="75"/>
      <c r="V36" s="75"/>
      <c r="W36" s="76"/>
      <c r="X36" s="74"/>
      <c r="Y36" s="150"/>
      <c r="Z36" s="150"/>
      <c r="AA36" s="151"/>
      <c r="AB36" s="149"/>
      <c r="AC36" s="150"/>
      <c r="AD36" s="150"/>
      <c r="AE36" s="151"/>
      <c r="AF36" s="149"/>
      <c r="AG36" s="150"/>
      <c r="AH36" s="150"/>
      <c r="AI36" s="151"/>
      <c r="AJ36" s="149"/>
      <c r="AK36" s="150"/>
      <c r="AL36" s="150"/>
      <c r="AM36" s="151"/>
      <c r="AN36" s="149"/>
      <c r="AO36" s="150"/>
      <c r="AP36" s="150"/>
      <c r="AQ36" s="151"/>
      <c r="AR36" s="149"/>
      <c r="AS36" s="150"/>
      <c r="AT36" s="150"/>
      <c r="AU36" s="151"/>
      <c r="AV36" s="146">
        <v>3</v>
      </c>
      <c r="AW36" s="147">
        <v>3</v>
      </c>
      <c r="AX36" s="147">
        <v>3</v>
      </c>
      <c r="AY36" s="148">
        <v>3</v>
      </c>
      <c r="AZ36" s="146">
        <v>3</v>
      </c>
      <c r="BA36" s="147">
        <v>3</v>
      </c>
      <c r="BB36" s="147">
        <v>3</v>
      </c>
      <c r="BC36" s="148">
        <v>3</v>
      </c>
      <c r="BD36" s="146">
        <v>3</v>
      </c>
      <c r="BE36" s="147">
        <v>3</v>
      </c>
      <c r="BF36" s="147">
        <v>3</v>
      </c>
      <c r="BG36" s="148">
        <v>3</v>
      </c>
      <c r="BH36" s="146">
        <v>3</v>
      </c>
      <c r="BI36" s="147">
        <v>3</v>
      </c>
      <c r="BJ36" s="147">
        <v>3</v>
      </c>
      <c r="BK36" s="148">
        <v>3</v>
      </c>
      <c r="BL36" s="149"/>
      <c r="BM36" s="150"/>
      <c r="BN36" s="150"/>
      <c r="BO36" s="151"/>
      <c r="BP36" s="149"/>
      <c r="BQ36" s="150"/>
      <c r="BR36" s="150"/>
      <c r="BS36" s="159"/>
      <c r="BT36" s="149"/>
      <c r="BU36" s="150"/>
      <c r="BV36" s="150"/>
      <c r="BW36" s="159"/>
      <c r="BX36" s="149"/>
      <c r="BY36" s="150"/>
      <c r="BZ36" s="150"/>
      <c r="CA36" s="159"/>
      <c r="CB36" s="84"/>
      <c r="CC36" s="85"/>
    </row>
    <row r="37" spans="1:81" s="6" customFormat="1" ht="15.75" thickBot="1" x14ac:dyDescent="0.3">
      <c r="A37" s="275"/>
      <c r="B37" s="277"/>
      <c r="C37" s="279"/>
      <c r="D37" s="279"/>
      <c r="E37" s="279"/>
      <c r="F37" s="281"/>
      <c r="G37" s="281"/>
      <c r="H37" s="283"/>
      <c r="I37" s="285"/>
      <c r="J37" s="302"/>
      <c r="K37" s="320"/>
      <c r="L37" s="324"/>
      <c r="M37" s="271"/>
      <c r="N37" s="271"/>
      <c r="O37" s="48" t="s">
        <v>27</v>
      </c>
      <c r="P37" s="79"/>
      <c r="Q37" s="80"/>
      <c r="R37" s="80"/>
      <c r="S37" s="81"/>
      <c r="T37" s="79"/>
      <c r="U37" s="80"/>
      <c r="V37" s="80"/>
      <c r="W37" s="81"/>
      <c r="X37" s="79"/>
      <c r="Y37" s="153"/>
      <c r="Z37" s="153"/>
      <c r="AA37" s="154"/>
      <c r="AB37" s="152"/>
      <c r="AC37" s="153"/>
      <c r="AD37" s="153"/>
      <c r="AE37" s="154"/>
      <c r="AF37" s="152"/>
      <c r="AG37" s="153"/>
      <c r="AH37" s="153"/>
      <c r="AI37" s="154"/>
      <c r="AJ37" s="152"/>
      <c r="AK37" s="153"/>
      <c r="AL37" s="153"/>
      <c r="AM37" s="154"/>
      <c r="AN37" s="152"/>
      <c r="AO37" s="153"/>
      <c r="AP37" s="153"/>
      <c r="AQ37" s="154"/>
      <c r="AR37" s="152"/>
      <c r="AS37" s="153"/>
      <c r="AT37" s="153"/>
      <c r="AU37" s="154"/>
      <c r="AV37" s="152"/>
      <c r="AW37" s="153"/>
      <c r="AX37" s="153"/>
      <c r="AY37" s="154"/>
      <c r="AZ37" s="152"/>
      <c r="BA37" s="153"/>
      <c r="BB37" s="153"/>
      <c r="BC37" s="154"/>
      <c r="BD37" s="152"/>
      <c r="BE37" s="153"/>
      <c r="BF37" s="153"/>
      <c r="BG37" s="154"/>
      <c r="BH37" s="152"/>
      <c r="BI37" s="153"/>
      <c r="BJ37" s="153"/>
      <c r="BK37" s="154"/>
      <c r="BL37" s="152"/>
      <c r="BM37" s="153"/>
      <c r="BN37" s="153"/>
      <c r="BO37" s="154"/>
      <c r="BP37" s="152"/>
      <c r="BQ37" s="153"/>
      <c r="BR37" s="153"/>
      <c r="BS37" s="154"/>
      <c r="BT37" s="152"/>
      <c r="BU37" s="153"/>
      <c r="BV37" s="153"/>
      <c r="BW37" s="154"/>
      <c r="BX37" s="152"/>
      <c r="BY37" s="153"/>
      <c r="BZ37" s="153"/>
      <c r="CA37" s="154"/>
      <c r="CB37" s="82"/>
      <c r="CC37" s="83"/>
    </row>
    <row r="38" spans="1:81" x14ac:dyDescent="0.25">
      <c r="A38" s="274" t="s">
        <v>98</v>
      </c>
      <c r="B38" s="276" t="s">
        <v>63</v>
      </c>
      <c r="C38" s="278" t="s">
        <v>25</v>
      </c>
      <c r="D38" s="278" t="s">
        <v>119</v>
      </c>
      <c r="E38" s="278">
        <v>1</v>
      </c>
      <c r="F38" s="280">
        <f>G38</f>
        <v>2251.54648</v>
      </c>
      <c r="G38" s="280">
        <f>(1387054.74+234904.23+629587.51)/1000</f>
        <v>2251.54648</v>
      </c>
      <c r="H38" s="282">
        <f>G38/G76</f>
        <v>7.7945952581615664E-3</v>
      </c>
      <c r="I38" s="284">
        <v>0</v>
      </c>
      <c r="J38" s="301">
        <f t="shared" ref="J38" si="10">I38*H38</f>
        <v>0</v>
      </c>
      <c r="K38" s="319">
        <v>45047</v>
      </c>
      <c r="L38" s="321">
        <v>45169</v>
      </c>
      <c r="M38" s="270"/>
      <c r="N38" s="270"/>
      <c r="O38" s="47" t="s">
        <v>26</v>
      </c>
      <c r="P38" s="74"/>
      <c r="Q38" s="75"/>
      <c r="R38" s="75"/>
      <c r="S38" s="76"/>
      <c r="T38" s="74"/>
      <c r="U38" s="75"/>
      <c r="V38" s="75"/>
      <c r="W38" s="76"/>
      <c r="X38" s="74"/>
      <c r="Y38" s="150"/>
      <c r="Z38" s="150"/>
      <c r="AA38" s="151"/>
      <c r="AB38" s="149"/>
      <c r="AC38" s="150"/>
      <c r="AD38" s="150"/>
      <c r="AE38" s="151"/>
      <c r="AF38" s="149"/>
      <c r="AG38" s="150"/>
      <c r="AH38" s="150"/>
      <c r="AI38" s="151"/>
      <c r="AJ38" s="149"/>
      <c r="AK38" s="150"/>
      <c r="AL38" s="150"/>
      <c r="AM38" s="151"/>
      <c r="AN38" s="149"/>
      <c r="AO38" s="150"/>
      <c r="AP38" s="150"/>
      <c r="AQ38" s="151"/>
      <c r="AR38" s="149"/>
      <c r="AS38" s="150"/>
      <c r="AT38" s="150"/>
      <c r="AU38" s="151"/>
      <c r="AV38" s="146">
        <v>4</v>
      </c>
      <c r="AW38" s="147">
        <v>4</v>
      </c>
      <c r="AX38" s="147">
        <v>4</v>
      </c>
      <c r="AY38" s="148">
        <v>4</v>
      </c>
      <c r="AZ38" s="146">
        <v>4</v>
      </c>
      <c r="BA38" s="147">
        <v>4</v>
      </c>
      <c r="BB38" s="147">
        <v>4</v>
      </c>
      <c r="BC38" s="148">
        <v>4</v>
      </c>
      <c r="BD38" s="146">
        <v>4</v>
      </c>
      <c r="BE38" s="147">
        <v>4</v>
      </c>
      <c r="BF38" s="147">
        <v>4</v>
      </c>
      <c r="BG38" s="148">
        <v>4</v>
      </c>
      <c r="BH38" s="146">
        <v>4</v>
      </c>
      <c r="BI38" s="147">
        <v>4</v>
      </c>
      <c r="BJ38" s="147">
        <v>4</v>
      </c>
      <c r="BK38" s="148">
        <v>4</v>
      </c>
      <c r="BL38" s="149"/>
      <c r="BM38" s="150"/>
      <c r="BN38" s="150"/>
      <c r="BO38" s="151"/>
      <c r="BP38" s="149"/>
      <c r="BQ38" s="150"/>
      <c r="BR38" s="150"/>
      <c r="BS38" s="159"/>
      <c r="BT38" s="149"/>
      <c r="BU38" s="150"/>
      <c r="BV38" s="150"/>
      <c r="BW38" s="159"/>
      <c r="BX38" s="149"/>
      <c r="BY38" s="150"/>
      <c r="BZ38" s="150"/>
      <c r="CA38" s="159"/>
      <c r="CB38" s="84"/>
      <c r="CC38" s="85"/>
    </row>
    <row r="39" spans="1:81" s="6" customFormat="1" ht="15.75" thickBot="1" x14ac:dyDescent="0.3">
      <c r="A39" s="275"/>
      <c r="B39" s="277"/>
      <c r="C39" s="279"/>
      <c r="D39" s="279"/>
      <c r="E39" s="279"/>
      <c r="F39" s="281"/>
      <c r="G39" s="281"/>
      <c r="H39" s="283"/>
      <c r="I39" s="285"/>
      <c r="J39" s="302"/>
      <c r="K39" s="320"/>
      <c r="L39" s="322"/>
      <c r="M39" s="271"/>
      <c r="N39" s="271"/>
      <c r="O39" s="48" t="s">
        <v>27</v>
      </c>
      <c r="P39" s="79"/>
      <c r="Q39" s="80"/>
      <c r="R39" s="80"/>
      <c r="S39" s="81"/>
      <c r="T39" s="79"/>
      <c r="U39" s="80"/>
      <c r="V39" s="80"/>
      <c r="W39" s="81"/>
      <c r="X39" s="79"/>
      <c r="Y39" s="153"/>
      <c r="Z39" s="153"/>
      <c r="AA39" s="154"/>
      <c r="AB39" s="152"/>
      <c r="AC39" s="153"/>
      <c r="AD39" s="153"/>
      <c r="AE39" s="154"/>
      <c r="AF39" s="152"/>
      <c r="AG39" s="153"/>
      <c r="AH39" s="153"/>
      <c r="AI39" s="154"/>
      <c r="AJ39" s="152"/>
      <c r="AK39" s="153"/>
      <c r="AL39" s="153"/>
      <c r="AM39" s="154"/>
      <c r="AN39" s="152"/>
      <c r="AO39" s="153"/>
      <c r="AP39" s="153"/>
      <c r="AQ39" s="154"/>
      <c r="AR39" s="152"/>
      <c r="AS39" s="153"/>
      <c r="AT39" s="153"/>
      <c r="AU39" s="154"/>
      <c r="AV39" s="164"/>
      <c r="AW39" s="138"/>
      <c r="AX39" s="138"/>
      <c r="AY39" s="165"/>
      <c r="AZ39" s="164"/>
      <c r="BA39" s="138"/>
      <c r="BB39" s="138"/>
      <c r="BC39" s="165"/>
      <c r="BD39" s="164"/>
      <c r="BE39" s="138"/>
      <c r="BF39" s="138"/>
      <c r="BG39" s="165"/>
      <c r="BH39" s="164"/>
      <c r="BI39" s="138"/>
      <c r="BJ39" s="138"/>
      <c r="BK39" s="165"/>
      <c r="BL39" s="152"/>
      <c r="BM39" s="153"/>
      <c r="BN39" s="153"/>
      <c r="BO39" s="154"/>
      <c r="BP39" s="152"/>
      <c r="BQ39" s="153"/>
      <c r="BR39" s="153"/>
      <c r="BS39" s="154"/>
      <c r="BT39" s="152"/>
      <c r="BU39" s="153"/>
      <c r="BV39" s="153"/>
      <c r="BW39" s="154"/>
      <c r="BX39" s="152"/>
      <c r="BY39" s="153"/>
      <c r="BZ39" s="153"/>
      <c r="CA39" s="154"/>
      <c r="CB39" s="82"/>
      <c r="CC39" s="83"/>
    </row>
    <row r="40" spans="1:81" x14ac:dyDescent="0.25">
      <c r="A40" s="274" t="s">
        <v>99</v>
      </c>
      <c r="B40" s="276" t="s">
        <v>102</v>
      </c>
      <c r="C40" s="278" t="s">
        <v>25</v>
      </c>
      <c r="D40" s="278" t="s">
        <v>119</v>
      </c>
      <c r="E40" s="278">
        <v>1</v>
      </c>
      <c r="F40" s="280">
        <f>G40</f>
        <v>2088.4625799999999</v>
      </c>
      <c r="G40" s="280">
        <f>(1821425.23+267037.35)/1000</f>
        <v>2088.4625799999999</v>
      </c>
      <c r="H40" s="282">
        <f>G40/G76</f>
        <v>7.2300175312907024E-3</v>
      </c>
      <c r="I40" s="284">
        <v>0</v>
      </c>
      <c r="J40" s="301">
        <f t="shared" ref="J40" si="11">I40*H40</f>
        <v>0</v>
      </c>
      <c r="K40" s="319">
        <v>45047</v>
      </c>
      <c r="L40" s="321">
        <v>45169</v>
      </c>
      <c r="M40" s="270"/>
      <c r="N40" s="270"/>
      <c r="O40" s="47" t="s">
        <v>26</v>
      </c>
      <c r="P40" s="74"/>
      <c r="Q40" s="75"/>
      <c r="R40" s="75"/>
      <c r="S40" s="76"/>
      <c r="T40" s="74"/>
      <c r="U40" s="75"/>
      <c r="V40" s="75"/>
      <c r="W40" s="76"/>
      <c r="X40" s="74"/>
      <c r="Y40" s="150"/>
      <c r="Z40" s="150"/>
      <c r="AA40" s="151"/>
      <c r="AB40" s="149"/>
      <c r="AC40" s="150"/>
      <c r="AD40" s="150"/>
      <c r="AE40" s="151"/>
      <c r="AF40" s="149"/>
      <c r="AG40" s="150"/>
      <c r="AH40" s="150"/>
      <c r="AI40" s="151"/>
      <c r="AJ40" s="149"/>
      <c r="AK40" s="150"/>
      <c r="AL40" s="150"/>
      <c r="AM40" s="151"/>
      <c r="AN40" s="149"/>
      <c r="AO40" s="150"/>
      <c r="AP40" s="150"/>
      <c r="AQ40" s="151"/>
      <c r="AR40" s="149"/>
      <c r="AS40" s="150"/>
      <c r="AT40" s="150"/>
      <c r="AU40" s="151"/>
      <c r="AV40" s="146">
        <v>3</v>
      </c>
      <c r="AW40" s="147">
        <v>3</v>
      </c>
      <c r="AX40" s="147">
        <v>3</v>
      </c>
      <c r="AY40" s="148">
        <v>3</v>
      </c>
      <c r="AZ40" s="146">
        <v>3</v>
      </c>
      <c r="BA40" s="147">
        <v>3</v>
      </c>
      <c r="BB40" s="147">
        <v>3</v>
      </c>
      <c r="BC40" s="148">
        <v>3</v>
      </c>
      <c r="BD40" s="146">
        <v>3</v>
      </c>
      <c r="BE40" s="147">
        <v>3</v>
      </c>
      <c r="BF40" s="147">
        <v>3</v>
      </c>
      <c r="BG40" s="148">
        <v>3</v>
      </c>
      <c r="BH40" s="146">
        <v>3</v>
      </c>
      <c r="BI40" s="147">
        <v>3</v>
      </c>
      <c r="BJ40" s="147">
        <v>3</v>
      </c>
      <c r="BK40" s="148">
        <v>3</v>
      </c>
      <c r="BL40" s="149"/>
      <c r="BM40" s="150"/>
      <c r="BN40" s="150"/>
      <c r="BO40" s="151"/>
      <c r="BP40" s="149"/>
      <c r="BQ40" s="150"/>
      <c r="BR40" s="150"/>
      <c r="BS40" s="159"/>
      <c r="BT40" s="149"/>
      <c r="BU40" s="150"/>
      <c r="BV40" s="150"/>
      <c r="BW40" s="159"/>
      <c r="BX40" s="149"/>
      <c r="BY40" s="150"/>
      <c r="BZ40" s="150"/>
      <c r="CA40" s="159"/>
      <c r="CB40" s="84"/>
      <c r="CC40" s="85"/>
    </row>
    <row r="41" spans="1:81" s="6" customFormat="1" ht="15.75" thickBot="1" x14ac:dyDescent="0.3">
      <c r="A41" s="275"/>
      <c r="B41" s="277"/>
      <c r="C41" s="279"/>
      <c r="D41" s="279"/>
      <c r="E41" s="279"/>
      <c r="F41" s="281"/>
      <c r="G41" s="281"/>
      <c r="H41" s="283"/>
      <c r="I41" s="285"/>
      <c r="J41" s="302"/>
      <c r="K41" s="320"/>
      <c r="L41" s="322"/>
      <c r="M41" s="271"/>
      <c r="N41" s="271"/>
      <c r="O41" s="48" t="s">
        <v>27</v>
      </c>
      <c r="P41" s="79"/>
      <c r="Q41" s="80"/>
      <c r="R41" s="80"/>
      <c r="S41" s="81"/>
      <c r="T41" s="79"/>
      <c r="U41" s="80"/>
      <c r="V41" s="80"/>
      <c r="W41" s="81"/>
      <c r="X41" s="79"/>
      <c r="Y41" s="153"/>
      <c r="Z41" s="153"/>
      <c r="AA41" s="154"/>
      <c r="AB41" s="152"/>
      <c r="AC41" s="153"/>
      <c r="AD41" s="153"/>
      <c r="AE41" s="154"/>
      <c r="AF41" s="152"/>
      <c r="AG41" s="153"/>
      <c r="AH41" s="153"/>
      <c r="AI41" s="154"/>
      <c r="AJ41" s="152"/>
      <c r="AK41" s="153"/>
      <c r="AL41" s="153"/>
      <c r="AM41" s="154"/>
      <c r="AN41" s="152"/>
      <c r="AO41" s="153"/>
      <c r="AP41" s="153"/>
      <c r="AQ41" s="154"/>
      <c r="AR41" s="152"/>
      <c r="AS41" s="153"/>
      <c r="AT41" s="153"/>
      <c r="AU41" s="154"/>
      <c r="AV41" s="152"/>
      <c r="AW41" s="153"/>
      <c r="AX41" s="153"/>
      <c r="AY41" s="154"/>
      <c r="AZ41" s="152"/>
      <c r="BA41" s="153"/>
      <c r="BB41" s="153"/>
      <c r="BC41" s="154"/>
      <c r="BD41" s="152"/>
      <c r="BE41" s="153"/>
      <c r="BF41" s="153"/>
      <c r="BG41" s="154"/>
      <c r="BH41" s="152"/>
      <c r="BI41" s="153"/>
      <c r="BJ41" s="153"/>
      <c r="BK41" s="154"/>
      <c r="BL41" s="152"/>
      <c r="BM41" s="153"/>
      <c r="BN41" s="153"/>
      <c r="BO41" s="154"/>
      <c r="BP41" s="152"/>
      <c r="BQ41" s="153"/>
      <c r="BR41" s="153"/>
      <c r="BS41" s="154"/>
      <c r="BT41" s="152"/>
      <c r="BU41" s="153"/>
      <c r="BV41" s="153"/>
      <c r="BW41" s="154"/>
      <c r="BX41" s="152"/>
      <c r="BY41" s="153"/>
      <c r="BZ41" s="153"/>
      <c r="CA41" s="154"/>
      <c r="CB41" s="82"/>
      <c r="CC41" s="83"/>
    </row>
    <row r="42" spans="1:81" x14ac:dyDescent="0.25">
      <c r="A42" s="274" t="s">
        <v>100</v>
      </c>
      <c r="B42" s="276" t="s">
        <v>115</v>
      </c>
      <c r="C42" s="278" t="s">
        <v>25</v>
      </c>
      <c r="D42" s="278" t="s">
        <v>119</v>
      </c>
      <c r="E42" s="278">
        <v>1</v>
      </c>
      <c r="F42" s="280">
        <f>G42</f>
        <v>16315.359618946404</v>
      </c>
      <c r="G42" s="280">
        <f>(((6182352+9553015+26105)*1.011)*1.004*1.0198)/1000</f>
        <v>16315.359618946404</v>
      </c>
      <c r="H42" s="282">
        <f>G42/G76</f>
        <v>5.6481900707215399E-2</v>
      </c>
      <c r="I42" s="284">
        <v>0</v>
      </c>
      <c r="J42" s="301">
        <f t="shared" ref="J42" si="12">I42*H42</f>
        <v>0</v>
      </c>
      <c r="K42" s="319">
        <v>45078</v>
      </c>
      <c r="L42" s="319">
        <v>45245</v>
      </c>
      <c r="M42" s="270"/>
      <c r="N42" s="270"/>
      <c r="O42" s="47" t="s">
        <v>26</v>
      </c>
      <c r="P42" s="74"/>
      <c r="Q42" s="75"/>
      <c r="R42" s="75"/>
      <c r="S42" s="76"/>
      <c r="T42" s="74"/>
      <c r="U42" s="75"/>
      <c r="V42" s="75"/>
      <c r="W42" s="76"/>
      <c r="X42" s="74"/>
      <c r="Y42" s="150"/>
      <c r="Z42" s="150"/>
      <c r="AA42" s="151"/>
      <c r="AB42" s="149"/>
      <c r="AC42" s="150"/>
      <c r="AD42" s="150"/>
      <c r="AE42" s="151"/>
      <c r="AF42" s="149"/>
      <c r="AG42" s="150"/>
      <c r="AH42" s="150"/>
      <c r="AI42" s="151"/>
      <c r="AJ42" s="149"/>
      <c r="AK42" s="150"/>
      <c r="AL42" s="150"/>
      <c r="AM42" s="151"/>
      <c r="AN42" s="149"/>
      <c r="AO42" s="150"/>
      <c r="AP42" s="150"/>
      <c r="AQ42" s="151"/>
      <c r="AR42" s="149"/>
      <c r="AS42" s="150"/>
      <c r="AT42" s="150"/>
      <c r="AU42" s="151"/>
      <c r="AV42" s="149"/>
      <c r="AW42" s="150"/>
      <c r="AX42" s="150"/>
      <c r="AY42" s="151"/>
      <c r="AZ42" s="146">
        <v>6</v>
      </c>
      <c r="BA42" s="147">
        <v>6</v>
      </c>
      <c r="BB42" s="147">
        <v>6</v>
      </c>
      <c r="BC42" s="148">
        <v>6</v>
      </c>
      <c r="BD42" s="146">
        <v>6</v>
      </c>
      <c r="BE42" s="147">
        <v>6</v>
      </c>
      <c r="BF42" s="147">
        <v>6</v>
      </c>
      <c r="BG42" s="148">
        <v>6</v>
      </c>
      <c r="BH42" s="146">
        <v>6</v>
      </c>
      <c r="BI42" s="147">
        <v>6</v>
      </c>
      <c r="BJ42" s="147">
        <v>6</v>
      </c>
      <c r="BK42" s="148">
        <v>6</v>
      </c>
      <c r="BL42" s="146">
        <v>6</v>
      </c>
      <c r="BM42" s="147">
        <v>6</v>
      </c>
      <c r="BN42" s="147">
        <v>6</v>
      </c>
      <c r="BO42" s="148">
        <v>6</v>
      </c>
      <c r="BP42" s="146">
        <v>6</v>
      </c>
      <c r="BQ42" s="147">
        <v>6</v>
      </c>
      <c r="BR42" s="147">
        <v>6</v>
      </c>
      <c r="BS42" s="148">
        <v>6</v>
      </c>
      <c r="BT42" s="146">
        <v>6</v>
      </c>
      <c r="BU42" s="147">
        <v>6</v>
      </c>
      <c r="BV42" s="150"/>
      <c r="BW42" s="159"/>
      <c r="BX42" s="149"/>
      <c r="BY42" s="150"/>
      <c r="BZ42" s="150"/>
      <c r="CA42" s="159"/>
      <c r="CB42" s="84"/>
      <c r="CC42" s="85"/>
    </row>
    <row r="43" spans="1:81" s="6" customFormat="1" ht="15.75" thickBot="1" x14ac:dyDescent="0.3">
      <c r="A43" s="275"/>
      <c r="B43" s="277"/>
      <c r="C43" s="279"/>
      <c r="D43" s="279"/>
      <c r="E43" s="279"/>
      <c r="F43" s="281"/>
      <c r="G43" s="281"/>
      <c r="H43" s="283"/>
      <c r="I43" s="285"/>
      <c r="J43" s="302"/>
      <c r="K43" s="320"/>
      <c r="L43" s="346"/>
      <c r="M43" s="271"/>
      <c r="N43" s="271"/>
      <c r="O43" s="48" t="s">
        <v>27</v>
      </c>
      <c r="P43" s="79"/>
      <c r="Q43" s="80"/>
      <c r="R43" s="80"/>
      <c r="S43" s="81"/>
      <c r="T43" s="79"/>
      <c r="U43" s="80"/>
      <c r="V43" s="80"/>
      <c r="W43" s="81"/>
      <c r="X43" s="79"/>
      <c r="Y43" s="153"/>
      <c r="Z43" s="153"/>
      <c r="AA43" s="154"/>
      <c r="AB43" s="152"/>
      <c r="AC43" s="153"/>
      <c r="AD43" s="153"/>
      <c r="AE43" s="154"/>
      <c r="AF43" s="152"/>
      <c r="AG43" s="153"/>
      <c r="AH43" s="153"/>
      <c r="AI43" s="154"/>
      <c r="AJ43" s="152"/>
      <c r="AK43" s="153"/>
      <c r="AL43" s="153"/>
      <c r="AM43" s="154"/>
      <c r="AN43" s="152"/>
      <c r="AO43" s="153"/>
      <c r="AP43" s="153"/>
      <c r="AQ43" s="154"/>
      <c r="AR43" s="152"/>
      <c r="AS43" s="153"/>
      <c r="AT43" s="153"/>
      <c r="AU43" s="154"/>
      <c r="AV43" s="152"/>
      <c r="AW43" s="153"/>
      <c r="AX43" s="153"/>
      <c r="AY43" s="154"/>
      <c r="AZ43" s="152"/>
      <c r="BA43" s="153"/>
      <c r="BB43" s="153"/>
      <c r="BC43" s="154"/>
      <c r="BD43" s="152"/>
      <c r="BE43" s="153"/>
      <c r="BF43" s="153"/>
      <c r="BG43" s="154"/>
      <c r="BH43" s="152"/>
      <c r="BI43" s="153"/>
      <c r="BJ43" s="153"/>
      <c r="BK43" s="154"/>
      <c r="BL43" s="152"/>
      <c r="BM43" s="153"/>
      <c r="BN43" s="153"/>
      <c r="BO43" s="154"/>
      <c r="BP43" s="152"/>
      <c r="BQ43" s="153"/>
      <c r="BR43" s="153"/>
      <c r="BS43" s="154"/>
      <c r="BT43" s="152"/>
      <c r="BU43" s="153"/>
      <c r="BV43" s="153"/>
      <c r="BW43" s="154"/>
      <c r="BX43" s="152"/>
      <c r="BY43" s="153"/>
      <c r="BZ43" s="153"/>
      <c r="CA43" s="154"/>
      <c r="CB43" s="82"/>
      <c r="CC43" s="83"/>
    </row>
    <row r="44" spans="1:81" x14ac:dyDescent="0.25">
      <c r="A44" s="274" t="s">
        <v>101</v>
      </c>
      <c r="B44" s="276" t="s">
        <v>113</v>
      </c>
      <c r="C44" s="278" t="s">
        <v>25</v>
      </c>
      <c r="D44" s="278" t="s">
        <v>119</v>
      </c>
      <c r="E44" s="278">
        <v>1</v>
      </c>
      <c r="F44" s="280">
        <f>G44</f>
        <v>10198.94127923037</v>
      </c>
      <c r="G44" s="280">
        <f>(((1336592+536503+5618662+1723009+131526+15333+12207+327394+108627+42846)*1.011)*1.004*1.0198)/1000</f>
        <v>10198.94127923037</v>
      </c>
      <c r="H44" s="282">
        <f>G44/G76</f>
        <v>3.5307563063658051E-2</v>
      </c>
      <c r="I44" s="284">
        <v>0</v>
      </c>
      <c r="J44" s="301">
        <f t="shared" ref="J44" si="13">I44*H44</f>
        <v>0</v>
      </c>
      <c r="K44" s="319">
        <v>45078</v>
      </c>
      <c r="L44" s="344">
        <v>45169</v>
      </c>
      <c r="M44" s="270"/>
      <c r="N44" s="270"/>
      <c r="O44" s="47" t="s">
        <v>26</v>
      </c>
      <c r="P44" s="74"/>
      <c r="Q44" s="75"/>
      <c r="R44" s="75"/>
      <c r="S44" s="76"/>
      <c r="T44" s="74"/>
      <c r="U44" s="75"/>
      <c r="V44" s="75"/>
      <c r="W44" s="76"/>
      <c r="X44" s="74"/>
      <c r="Y44" s="150"/>
      <c r="Z44" s="150"/>
      <c r="AA44" s="151"/>
      <c r="AB44" s="149"/>
      <c r="AC44" s="150"/>
      <c r="AD44" s="150"/>
      <c r="AE44" s="151"/>
      <c r="AF44" s="149"/>
      <c r="AG44" s="150"/>
      <c r="AH44" s="150"/>
      <c r="AI44" s="151"/>
      <c r="AJ44" s="149"/>
      <c r="AK44" s="150"/>
      <c r="AL44" s="150"/>
      <c r="AM44" s="151"/>
      <c r="AN44" s="149"/>
      <c r="AO44" s="150"/>
      <c r="AP44" s="150"/>
      <c r="AQ44" s="151"/>
      <c r="AR44" s="149"/>
      <c r="AS44" s="150"/>
      <c r="AT44" s="150"/>
      <c r="AU44" s="151"/>
      <c r="AV44" s="149"/>
      <c r="AW44" s="150"/>
      <c r="AX44" s="150"/>
      <c r="AY44" s="151"/>
      <c r="AZ44" s="146">
        <v>3</v>
      </c>
      <c r="BA44" s="147">
        <v>3</v>
      </c>
      <c r="BB44" s="147">
        <v>3</v>
      </c>
      <c r="BC44" s="148">
        <v>3</v>
      </c>
      <c r="BD44" s="146">
        <v>3</v>
      </c>
      <c r="BE44" s="147">
        <v>3</v>
      </c>
      <c r="BF44" s="147">
        <v>3</v>
      </c>
      <c r="BG44" s="148">
        <v>3</v>
      </c>
      <c r="BH44" s="146">
        <v>3</v>
      </c>
      <c r="BI44" s="147">
        <v>3</v>
      </c>
      <c r="BJ44" s="147">
        <v>3</v>
      </c>
      <c r="BK44" s="148">
        <v>3</v>
      </c>
      <c r="BL44" s="149"/>
      <c r="BM44" s="150"/>
      <c r="BN44" s="150"/>
      <c r="BO44" s="151"/>
      <c r="BP44" s="149"/>
      <c r="BQ44" s="150"/>
      <c r="BR44" s="150"/>
      <c r="BS44" s="159"/>
      <c r="BT44" s="149"/>
      <c r="BU44" s="150"/>
      <c r="BV44" s="150"/>
      <c r="BW44" s="159"/>
      <c r="BX44" s="149"/>
      <c r="BY44" s="150"/>
      <c r="BZ44" s="150"/>
      <c r="CA44" s="159"/>
      <c r="CB44" s="84"/>
      <c r="CC44" s="85"/>
    </row>
    <row r="45" spans="1:81" s="6" customFormat="1" ht="15.75" thickBot="1" x14ac:dyDescent="0.3">
      <c r="A45" s="275"/>
      <c r="B45" s="277"/>
      <c r="C45" s="279"/>
      <c r="D45" s="279"/>
      <c r="E45" s="279"/>
      <c r="F45" s="281"/>
      <c r="G45" s="281"/>
      <c r="H45" s="283"/>
      <c r="I45" s="285"/>
      <c r="J45" s="302"/>
      <c r="K45" s="320"/>
      <c r="L45" s="345"/>
      <c r="M45" s="271"/>
      <c r="N45" s="271"/>
      <c r="O45" s="48" t="s">
        <v>27</v>
      </c>
      <c r="P45" s="79"/>
      <c r="Q45" s="80"/>
      <c r="R45" s="80"/>
      <c r="S45" s="81"/>
      <c r="T45" s="79"/>
      <c r="U45" s="80"/>
      <c r="V45" s="80"/>
      <c r="W45" s="81"/>
      <c r="X45" s="79"/>
      <c r="Y45" s="153"/>
      <c r="Z45" s="153"/>
      <c r="AA45" s="154"/>
      <c r="AB45" s="152"/>
      <c r="AC45" s="153"/>
      <c r="AD45" s="153"/>
      <c r="AE45" s="154"/>
      <c r="AF45" s="152"/>
      <c r="AG45" s="153"/>
      <c r="AH45" s="153"/>
      <c r="AI45" s="154"/>
      <c r="AJ45" s="152"/>
      <c r="AK45" s="153"/>
      <c r="AL45" s="153"/>
      <c r="AM45" s="154"/>
      <c r="AN45" s="152"/>
      <c r="AO45" s="153"/>
      <c r="AP45" s="153"/>
      <c r="AQ45" s="154"/>
      <c r="AR45" s="152"/>
      <c r="AS45" s="153"/>
      <c r="AT45" s="153"/>
      <c r="AU45" s="154"/>
      <c r="AV45" s="152"/>
      <c r="AW45" s="153"/>
      <c r="AX45" s="153"/>
      <c r="AY45" s="154"/>
      <c r="AZ45" s="152"/>
      <c r="BA45" s="153"/>
      <c r="BB45" s="153"/>
      <c r="BC45" s="154"/>
      <c r="BD45" s="152"/>
      <c r="BE45" s="153"/>
      <c r="BF45" s="153"/>
      <c r="BG45" s="154"/>
      <c r="BH45" s="152"/>
      <c r="BI45" s="153"/>
      <c r="BJ45" s="153"/>
      <c r="BK45" s="154"/>
      <c r="BL45" s="152"/>
      <c r="BM45" s="153"/>
      <c r="BN45" s="153"/>
      <c r="BO45" s="154"/>
      <c r="BP45" s="152"/>
      <c r="BQ45" s="153"/>
      <c r="BR45" s="153"/>
      <c r="BS45" s="154"/>
      <c r="BT45" s="152"/>
      <c r="BU45" s="153"/>
      <c r="BV45" s="153"/>
      <c r="BW45" s="154"/>
      <c r="BX45" s="152"/>
      <c r="BY45" s="153"/>
      <c r="BZ45" s="153"/>
      <c r="CA45" s="154"/>
      <c r="CB45" s="82"/>
      <c r="CC45" s="83"/>
    </row>
    <row r="46" spans="1:81" s="16" customFormat="1" thickBot="1" x14ac:dyDescent="0.25">
      <c r="A46" s="90" t="s">
        <v>16</v>
      </c>
      <c r="B46" s="91" t="s">
        <v>31</v>
      </c>
      <c r="C46" s="59"/>
      <c r="D46" s="59"/>
      <c r="E46" s="59"/>
      <c r="F46" s="144"/>
      <c r="G46" s="144"/>
      <c r="H46" s="59"/>
      <c r="I46" s="59"/>
      <c r="J46" s="59"/>
      <c r="K46" s="71">
        <v>45047</v>
      </c>
      <c r="L46" s="70">
        <v>45199</v>
      </c>
      <c r="M46" s="91"/>
      <c r="N46" s="91"/>
      <c r="O46" s="51"/>
      <c r="P46" s="92"/>
      <c r="Q46" s="93"/>
      <c r="R46" s="93"/>
      <c r="S46" s="94"/>
      <c r="T46" s="92"/>
      <c r="U46" s="93"/>
      <c r="V46" s="93"/>
      <c r="W46" s="94"/>
      <c r="X46" s="92"/>
      <c r="Y46" s="162"/>
      <c r="Z46" s="162"/>
      <c r="AA46" s="163"/>
      <c r="AB46" s="161"/>
      <c r="AC46" s="162"/>
      <c r="AD46" s="162"/>
      <c r="AE46" s="163"/>
      <c r="AF46" s="161"/>
      <c r="AG46" s="162"/>
      <c r="AH46" s="162"/>
      <c r="AI46" s="163"/>
      <c r="AJ46" s="161"/>
      <c r="AK46" s="162"/>
      <c r="AL46" s="162"/>
      <c r="AM46" s="163"/>
      <c r="AN46" s="161"/>
      <c r="AO46" s="162"/>
      <c r="AP46" s="162"/>
      <c r="AQ46" s="163"/>
      <c r="AR46" s="161"/>
      <c r="AS46" s="162"/>
      <c r="AT46" s="162"/>
      <c r="AU46" s="163"/>
      <c r="AV46" s="161"/>
      <c r="AW46" s="162"/>
      <c r="AX46" s="162"/>
      <c r="AY46" s="163"/>
      <c r="AZ46" s="161"/>
      <c r="BA46" s="162"/>
      <c r="BB46" s="162"/>
      <c r="BC46" s="163"/>
      <c r="BD46" s="161"/>
      <c r="BE46" s="162"/>
      <c r="BF46" s="162"/>
      <c r="BG46" s="163"/>
      <c r="BH46" s="161"/>
      <c r="BI46" s="162"/>
      <c r="BJ46" s="162"/>
      <c r="BK46" s="163"/>
      <c r="BL46" s="161"/>
      <c r="BM46" s="162"/>
      <c r="BN46" s="162"/>
      <c r="BO46" s="163"/>
      <c r="BP46" s="161"/>
      <c r="BQ46" s="162"/>
      <c r="BR46" s="162"/>
      <c r="BS46" s="163"/>
      <c r="BT46" s="161"/>
      <c r="BU46" s="162"/>
      <c r="BV46" s="162"/>
      <c r="BW46" s="163"/>
      <c r="BX46" s="161"/>
      <c r="BY46" s="162"/>
      <c r="BZ46" s="162"/>
      <c r="CA46" s="163"/>
      <c r="CB46" s="95"/>
      <c r="CC46" s="96"/>
    </row>
    <row r="47" spans="1:81" s="6" customFormat="1" x14ac:dyDescent="0.25">
      <c r="A47" s="361" t="s">
        <v>84</v>
      </c>
      <c r="B47" s="276" t="s">
        <v>32</v>
      </c>
      <c r="C47" s="278" t="s">
        <v>25</v>
      </c>
      <c r="D47" s="278" t="s">
        <v>119</v>
      </c>
      <c r="E47" s="278">
        <v>1</v>
      </c>
      <c r="F47" s="280">
        <f>G47</f>
        <v>4332.0441500000006</v>
      </c>
      <c r="G47" s="280">
        <f>4332044.15/1000</f>
        <v>4332.0441500000006</v>
      </c>
      <c r="H47" s="282">
        <f>G47/G76</f>
        <v>1.4997039186033841E-2</v>
      </c>
      <c r="I47" s="284">
        <v>0</v>
      </c>
      <c r="J47" s="301">
        <f t="shared" ref="J47:J55" si="14">I47*H47</f>
        <v>0</v>
      </c>
      <c r="K47" s="319">
        <v>45047</v>
      </c>
      <c r="L47" s="290">
        <v>45169</v>
      </c>
      <c r="M47" s="270"/>
      <c r="N47" s="270"/>
      <c r="O47" s="47" t="s">
        <v>26</v>
      </c>
      <c r="P47" s="74"/>
      <c r="Q47" s="75"/>
      <c r="R47" s="75"/>
      <c r="S47" s="76"/>
      <c r="T47" s="74"/>
      <c r="U47" s="75"/>
      <c r="V47" s="75"/>
      <c r="W47" s="76"/>
      <c r="X47" s="74"/>
      <c r="Y47" s="150"/>
      <c r="Z47" s="150"/>
      <c r="AA47" s="151"/>
      <c r="AB47" s="149"/>
      <c r="AC47" s="150"/>
      <c r="AD47" s="150"/>
      <c r="AE47" s="151"/>
      <c r="AF47" s="149"/>
      <c r="AG47" s="150"/>
      <c r="AH47" s="150"/>
      <c r="AI47" s="151"/>
      <c r="AJ47" s="149"/>
      <c r="AK47" s="150"/>
      <c r="AL47" s="150"/>
      <c r="AM47" s="151"/>
      <c r="AN47" s="149"/>
      <c r="AO47" s="150"/>
      <c r="AP47" s="150"/>
      <c r="AQ47" s="151"/>
      <c r="AR47" s="149"/>
      <c r="AS47" s="150"/>
      <c r="AT47" s="150"/>
      <c r="AU47" s="151"/>
      <c r="AV47" s="146">
        <v>4</v>
      </c>
      <c r="AW47" s="147">
        <v>4</v>
      </c>
      <c r="AX47" s="147">
        <v>4</v>
      </c>
      <c r="AY47" s="148">
        <v>4</v>
      </c>
      <c r="AZ47" s="146">
        <v>4</v>
      </c>
      <c r="BA47" s="147">
        <v>4</v>
      </c>
      <c r="BB47" s="147">
        <v>4</v>
      </c>
      <c r="BC47" s="148">
        <v>4</v>
      </c>
      <c r="BD47" s="146">
        <v>4</v>
      </c>
      <c r="BE47" s="147">
        <v>4</v>
      </c>
      <c r="BF47" s="147">
        <v>4</v>
      </c>
      <c r="BG47" s="148">
        <v>4</v>
      </c>
      <c r="BH47" s="146">
        <v>4</v>
      </c>
      <c r="BI47" s="147">
        <v>4</v>
      </c>
      <c r="BJ47" s="147">
        <v>4</v>
      </c>
      <c r="BK47" s="148">
        <v>4</v>
      </c>
      <c r="BL47" s="149"/>
      <c r="BM47" s="150"/>
      <c r="BN47" s="150"/>
      <c r="BO47" s="151"/>
      <c r="BP47" s="149"/>
      <c r="BQ47" s="150"/>
      <c r="BR47" s="150"/>
      <c r="BS47" s="151"/>
      <c r="BT47" s="149"/>
      <c r="BU47" s="150"/>
      <c r="BV47" s="150"/>
      <c r="BW47" s="151"/>
      <c r="BX47" s="149"/>
      <c r="BY47" s="150"/>
      <c r="BZ47" s="150"/>
      <c r="CA47" s="151"/>
      <c r="CB47" s="77"/>
      <c r="CC47" s="78"/>
    </row>
    <row r="48" spans="1:81" s="6" customFormat="1" ht="15.75" thickBot="1" x14ac:dyDescent="0.3">
      <c r="A48" s="362"/>
      <c r="B48" s="277"/>
      <c r="C48" s="279"/>
      <c r="D48" s="279"/>
      <c r="E48" s="279"/>
      <c r="F48" s="281"/>
      <c r="G48" s="281"/>
      <c r="H48" s="283"/>
      <c r="I48" s="285"/>
      <c r="J48" s="302"/>
      <c r="K48" s="320"/>
      <c r="L48" s="291"/>
      <c r="M48" s="271"/>
      <c r="N48" s="271"/>
      <c r="O48" s="48" t="s">
        <v>27</v>
      </c>
      <c r="P48" s="79"/>
      <c r="Q48" s="80"/>
      <c r="R48" s="80"/>
      <c r="S48" s="81"/>
      <c r="T48" s="79"/>
      <c r="U48" s="80"/>
      <c r="V48" s="80"/>
      <c r="W48" s="81"/>
      <c r="X48" s="79"/>
      <c r="Y48" s="153"/>
      <c r="Z48" s="153"/>
      <c r="AA48" s="154"/>
      <c r="AB48" s="152"/>
      <c r="AC48" s="153"/>
      <c r="AD48" s="153"/>
      <c r="AE48" s="154"/>
      <c r="AF48" s="152"/>
      <c r="AG48" s="153"/>
      <c r="AH48" s="153"/>
      <c r="AI48" s="154"/>
      <c r="AJ48" s="152"/>
      <c r="AK48" s="153"/>
      <c r="AL48" s="153"/>
      <c r="AM48" s="154"/>
      <c r="AN48" s="152"/>
      <c r="AO48" s="153"/>
      <c r="AP48" s="153"/>
      <c r="AQ48" s="154"/>
      <c r="AR48" s="152"/>
      <c r="AS48" s="153"/>
      <c r="AT48" s="153"/>
      <c r="AU48" s="154"/>
      <c r="AV48" s="164"/>
      <c r="AW48" s="138"/>
      <c r="AX48" s="138"/>
      <c r="AY48" s="165"/>
      <c r="AZ48" s="164"/>
      <c r="BA48" s="138"/>
      <c r="BB48" s="138"/>
      <c r="BC48" s="165"/>
      <c r="BD48" s="164"/>
      <c r="BE48" s="138"/>
      <c r="BF48" s="138"/>
      <c r="BG48" s="165"/>
      <c r="BH48" s="164"/>
      <c r="BI48" s="138"/>
      <c r="BJ48" s="138"/>
      <c r="BK48" s="165"/>
      <c r="BL48" s="152"/>
      <c r="BM48" s="153"/>
      <c r="BN48" s="153"/>
      <c r="BO48" s="154"/>
      <c r="BP48" s="152"/>
      <c r="BQ48" s="153"/>
      <c r="BR48" s="153"/>
      <c r="BS48" s="154"/>
      <c r="BT48" s="152"/>
      <c r="BU48" s="153"/>
      <c r="BV48" s="153"/>
      <c r="BW48" s="154"/>
      <c r="BX48" s="152"/>
      <c r="BY48" s="153"/>
      <c r="BZ48" s="153"/>
      <c r="CA48" s="154"/>
      <c r="CB48" s="82"/>
      <c r="CC48" s="83"/>
    </row>
    <row r="49" spans="1:81" s="6" customFormat="1" x14ac:dyDescent="0.25">
      <c r="A49" s="361" t="s">
        <v>85</v>
      </c>
      <c r="B49" s="276" t="s">
        <v>33</v>
      </c>
      <c r="C49" s="278" t="s">
        <v>25</v>
      </c>
      <c r="D49" s="278" t="s">
        <v>119</v>
      </c>
      <c r="E49" s="278">
        <v>1</v>
      </c>
      <c r="F49" s="280">
        <f>G49</f>
        <v>735.38036</v>
      </c>
      <c r="G49" s="280">
        <f>735380.36/1000</f>
        <v>735.38036</v>
      </c>
      <c r="H49" s="282">
        <f>G49/G76</f>
        <v>2.5458023264974508E-3</v>
      </c>
      <c r="I49" s="284">
        <v>0</v>
      </c>
      <c r="J49" s="301">
        <f t="shared" si="14"/>
        <v>0</v>
      </c>
      <c r="K49" s="319">
        <v>45047</v>
      </c>
      <c r="L49" s="290">
        <v>45169</v>
      </c>
      <c r="M49" s="270"/>
      <c r="N49" s="270"/>
      <c r="O49" s="47" t="s">
        <v>26</v>
      </c>
      <c r="P49" s="74"/>
      <c r="Q49" s="75"/>
      <c r="R49" s="75"/>
      <c r="S49" s="76"/>
      <c r="T49" s="74"/>
      <c r="U49" s="75"/>
      <c r="V49" s="75"/>
      <c r="W49" s="76"/>
      <c r="X49" s="74"/>
      <c r="Y49" s="150"/>
      <c r="Z49" s="150"/>
      <c r="AA49" s="151"/>
      <c r="AB49" s="149"/>
      <c r="AC49" s="150"/>
      <c r="AD49" s="150"/>
      <c r="AE49" s="151"/>
      <c r="AF49" s="149"/>
      <c r="AG49" s="150"/>
      <c r="AH49" s="150"/>
      <c r="AI49" s="151"/>
      <c r="AJ49" s="149"/>
      <c r="AK49" s="150"/>
      <c r="AL49" s="150"/>
      <c r="AM49" s="151"/>
      <c r="AN49" s="149"/>
      <c r="AO49" s="150"/>
      <c r="AP49" s="150"/>
      <c r="AQ49" s="151"/>
      <c r="AR49" s="149"/>
      <c r="AS49" s="150"/>
      <c r="AT49" s="150"/>
      <c r="AU49" s="151"/>
      <c r="AV49" s="146">
        <v>2</v>
      </c>
      <c r="AW49" s="147">
        <v>2</v>
      </c>
      <c r="AX49" s="147">
        <v>2</v>
      </c>
      <c r="AY49" s="148">
        <v>2</v>
      </c>
      <c r="AZ49" s="146">
        <v>2</v>
      </c>
      <c r="BA49" s="147">
        <v>2</v>
      </c>
      <c r="BB49" s="147">
        <v>2</v>
      </c>
      <c r="BC49" s="148">
        <v>2</v>
      </c>
      <c r="BD49" s="146">
        <v>2</v>
      </c>
      <c r="BE49" s="147">
        <v>2</v>
      </c>
      <c r="BF49" s="147">
        <v>2</v>
      </c>
      <c r="BG49" s="148">
        <v>2</v>
      </c>
      <c r="BH49" s="146">
        <v>2</v>
      </c>
      <c r="BI49" s="147">
        <v>2</v>
      </c>
      <c r="BJ49" s="147">
        <v>2</v>
      </c>
      <c r="BK49" s="148">
        <v>2</v>
      </c>
      <c r="BL49" s="149"/>
      <c r="BM49" s="150"/>
      <c r="BN49" s="150"/>
      <c r="BO49" s="151"/>
      <c r="BP49" s="149"/>
      <c r="BQ49" s="150"/>
      <c r="BR49" s="150"/>
      <c r="BS49" s="151"/>
      <c r="BT49" s="149"/>
      <c r="BU49" s="150"/>
      <c r="BV49" s="150"/>
      <c r="BW49" s="151"/>
      <c r="BX49" s="149"/>
      <c r="BY49" s="150"/>
      <c r="BZ49" s="150"/>
      <c r="CA49" s="151"/>
      <c r="CB49" s="77"/>
      <c r="CC49" s="78"/>
    </row>
    <row r="50" spans="1:81" s="6" customFormat="1" ht="15.75" thickBot="1" x14ac:dyDescent="0.3">
      <c r="A50" s="362"/>
      <c r="B50" s="277"/>
      <c r="C50" s="279"/>
      <c r="D50" s="279"/>
      <c r="E50" s="279"/>
      <c r="F50" s="281"/>
      <c r="G50" s="281"/>
      <c r="H50" s="283"/>
      <c r="I50" s="285"/>
      <c r="J50" s="302"/>
      <c r="K50" s="320"/>
      <c r="L50" s="291"/>
      <c r="M50" s="271"/>
      <c r="N50" s="271"/>
      <c r="O50" s="48" t="s">
        <v>27</v>
      </c>
      <c r="P50" s="79"/>
      <c r="Q50" s="80"/>
      <c r="R50" s="80"/>
      <c r="S50" s="81"/>
      <c r="T50" s="79"/>
      <c r="U50" s="80"/>
      <c r="V50" s="80"/>
      <c r="W50" s="81"/>
      <c r="X50" s="79"/>
      <c r="Y50" s="153"/>
      <c r="Z50" s="153"/>
      <c r="AA50" s="154"/>
      <c r="AB50" s="152"/>
      <c r="AC50" s="153"/>
      <c r="AD50" s="153"/>
      <c r="AE50" s="154"/>
      <c r="AF50" s="152"/>
      <c r="AG50" s="153"/>
      <c r="AH50" s="153"/>
      <c r="AI50" s="154"/>
      <c r="AJ50" s="152"/>
      <c r="AK50" s="153"/>
      <c r="AL50" s="153"/>
      <c r="AM50" s="154"/>
      <c r="AN50" s="152"/>
      <c r="AO50" s="153"/>
      <c r="AP50" s="153"/>
      <c r="AQ50" s="154"/>
      <c r="AR50" s="152"/>
      <c r="AS50" s="153"/>
      <c r="AT50" s="153"/>
      <c r="AU50" s="154"/>
      <c r="AV50" s="164"/>
      <c r="AW50" s="138"/>
      <c r="AX50" s="138"/>
      <c r="AY50" s="165"/>
      <c r="AZ50" s="164"/>
      <c r="BA50" s="138"/>
      <c r="BB50" s="138"/>
      <c r="BC50" s="165"/>
      <c r="BD50" s="164"/>
      <c r="BE50" s="138"/>
      <c r="BF50" s="138"/>
      <c r="BG50" s="165"/>
      <c r="BH50" s="164"/>
      <c r="BI50" s="138"/>
      <c r="BJ50" s="138"/>
      <c r="BK50" s="165"/>
      <c r="BL50" s="152"/>
      <c r="BM50" s="153"/>
      <c r="BN50" s="153"/>
      <c r="BO50" s="154"/>
      <c r="BP50" s="152"/>
      <c r="BQ50" s="153"/>
      <c r="BR50" s="153"/>
      <c r="BS50" s="154"/>
      <c r="BT50" s="152"/>
      <c r="BU50" s="153"/>
      <c r="BV50" s="153"/>
      <c r="BW50" s="154"/>
      <c r="BX50" s="152"/>
      <c r="BY50" s="153"/>
      <c r="BZ50" s="153"/>
      <c r="CA50" s="154"/>
      <c r="CB50" s="82"/>
      <c r="CC50" s="83"/>
    </row>
    <row r="51" spans="1:81" s="6" customFormat="1" x14ac:dyDescent="0.25">
      <c r="A51" s="361" t="s">
        <v>86</v>
      </c>
      <c r="B51" s="317" t="s">
        <v>34</v>
      </c>
      <c r="C51" s="278" t="s">
        <v>25</v>
      </c>
      <c r="D51" s="278" t="s">
        <v>119</v>
      </c>
      <c r="E51" s="278">
        <v>1</v>
      </c>
      <c r="F51" s="280">
        <f>G51</f>
        <v>2735.0472999999997</v>
      </c>
      <c r="G51" s="280">
        <f>2735047.3/1000</f>
        <v>2735.0472999999997</v>
      </c>
      <c r="H51" s="282">
        <f>G51/G76</f>
        <v>9.4684195528699881E-3</v>
      </c>
      <c r="I51" s="284">
        <v>0</v>
      </c>
      <c r="J51" s="301">
        <f t="shared" si="14"/>
        <v>0</v>
      </c>
      <c r="K51" s="319">
        <v>45047</v>
      </c>
      <c r="L51" s="290">
        <v>45169</v>
      </c>
      <c r="M51" s="270"/>
      <c r="N51" s="270"/>
      <c r="O51" s="47" t="s">
        <v>26</v>
      </c>
      <c r="P51" s="74"/>
      <c r="Q51" s="75"/>
      <c r="R51" s="75"/>
      <c r="S51" s="76"/>
      <c r="T51" s="74"/>
      <c r="U51" s="75"/>
      <c r="V51" s="75"/>
      <c r="W51" s="76"/>
      <c r="X51" s="74"/>
      <c r="Y51" s="150"/>
      <c r="Z51" s="150"/>
      <c r="AA51" s="151"/>
      <c r="AB51" s="149"/>
      <c r="AC51" s="150"/>
      <c r="AD51" s="150"/>
      <c r="AE51" s="151"/>
      <c r="AF51" s="149"/>
      <c r="AG51" s="150"/>
      <c r="AH51" s="150"/>
      <c r="AI51" s="151"/>
      <c r="AJ51" s="149"/>
      <c r="AK51" s="150"/>
      <c r="AL51" s="150"/>
      <c r="AM51" s="151"/>
      <c r="AN51" s="149"/>
      <c r="AO51" s="150"/>
      <c r="AP51" s="150"/>
      <c r="AQ51" s="151"/>
      <c r="AR51" s="149"/>
      <c r="AS51" s="150"/>
      <c r="AT51" s="150"/>
      <c r="AU51" s="151"/>
      <c r="AV51" s="146">
        <v>4</v>
      </c>
      <c r="AW51" s="147">
        <v>4</v>
      </c>
      <c r="AX51" s="147">
        <v>4</v>
      </c>
      <c r="AY51" s="148">
        <v>4</v>
      </c>
      <c r="AZ51" s="146">
        <v>4</v>
      </c>
      <c r="BA51" s="147">
        <v>4</v>
      </c>
      <c r="BB51" s="147">
        <v>4</v>
      </c>
      <c r="BC51" s="148">
        <v>4</v>
      </c>
      <c r="BD51" s="146">
        <v>4</v>
      </c>
      <c r="BE51" s="147">
        <v>4</v>
      </c>
      <c r="BF51" s="147">
        <v>4</v>
      </c>
      <c r="BG51" s="148">
        <v>4</v>
      </c>
      <c r="BH51" s="146">
        <v>4</v>
      </c>
      <c r="BI51" s="147">
        <v>4</v>
      </c>
      <c r="BJ51" s="147">
        <v>4</v>
      </c>
      <c r="BK51" s="148">
        <v>4</v>
      </c>
      <c r="BL51" s="149"/>
      <c r="BM51" s="150"/>
      <c r="BN51" s="150"/>
      <c r="BO51" s="151"/>
      <c r="BP51" s="149"/>
      <c r="BQ51" s="150"/>
      <c r="BR51" s="150"/>
      <c r="BS51" s="151"/>
      <c r="BT51" s="149"/>
      <c r="BU51" s="150"/>
      <c r="BV51" s="150"/>
      <c r="BW51" s="151"/>
      <c r="BX51" s="149"/>
      <c r="BY51" s="150"/>
      <c r="BZ51" s="150"/>
      <c r="CA51" s="151"/>
      <c r="CB51" s="77"/>
      <c r="CC51" s="78"/>
    </row>
    <row r="52" spans="1:81" s="6" customFormat="1" ht="15.75" thickBot="1" x14ac:dyDescent="0.3">
      <c r="A52" s="362"/>
      <c r="B52" s="318"/>
      <c r="C52" s="279"/>
      <c r="D52" s="279"/>
      <c r="E52" s="279"/>
      <c r="F52" s="281"/>
      <c r="G52" s="281"/>
      <c r="H52" s="283"/>
      <c r="I52" s="285"/>
      <c r="J52" s="302"/>
      <c r="K52" s="320"/>
      <c r="L52" s="291"/>
      <c r="M52" s="271"/>
      <c r="N52" s="271"/>
      <c r="O52" s="48" t="s">
        <v>27</v>
      </c>
      <c r="P52" s="79"/>
      <c r="Q52" s="80"/>
      <c r="R52" s="80"/>
      <c r="S52" s="81"/>
      <c r="T52" s="79"/>
      <c r="U52" s="80"/>
      <c r="V52" s="80"/>
      <c r="W52" s="81"/>
      <c r="X52" s="79"/>
      <c r="Y52" s="153"/>
      <c r="Z52" s="153"/>
      <c r="AA52" s="154"/>
      <c r="AB52" s="152"/>
      <c r="AC52" s="153"/>
      <c r="AD52" s="153"/>
      <c r="AE52" s="154"/>
      <c r="AF52" s="152"/>
      <c r="AG52" s="153"/>
      <c r="AH52" s="153"/>
      <c r="AI52" s="154"/>
      <c r="AJ52" s="152"/>
      <c r="AK52" s="153"/>
      <c r="AL52" s="153"/>
      <c r="AM52" s="154"/>
      <c r="AN52" s="152"/>
      <c r="AO52" s="153"/>
      <c r="AP52" s="153"/>
      <c r="AQ52" s="154"/>
      <c r="AR52" s="152"/>
      <c r="AS52" s="153"/>
      <c r="AT52" s="153"/>
      <c r="AU52" s="154"/>
      <c r="AV52" s="152"/>
      <c r="AW52" s="153"/>
      <c r="AX52" s="153"/>
      <c r="AY52" s="154"/>
      <c r="AZ52" s="152"/>
      <c r="BA52" s="153"/>
      <c r="BB52" s="153"/>
      <c r="BC52" s="154"/>
      <c r="BD52" s="152"/>
      <c r="BE52" s="153"/>
      <c r="BF52" s="153"/>
      <c r="BG52" s="154"/>
      <c r="BH52" s="152"/>
      <c r="BI52" s="153"/>
      <c r="BJ52" s="153"/>
      <c r="BK52" s="154"/>
      <c r="BL52" s="152"/>
      <c r="BM52" s="153"/>
      <c r="BN52" s="153"/>
      <c r="BO52" s="154"/>
      <c r="BP52" s="152"/>
      <c r="BQ52" s="153"/>
      <c r="BR52" s="153"/>
      <c r="BS52" s="154"/>
      <c r="BT52" s="152"/>
      <c r="BU52" s="153"/>
      <c r="BV52" s="153"/>
      <c r="BW52" s="154"/>
      <c r="BX52" s="152"/>
      <c r="BY52" s="153"/>
      <c r="BZ52" s="153"/>
      <c r="CA52" s="154"/>
      <c r="CB52" s="82"/>
      <c r="CC52" s="83"/>
    </row>
    <row r="53" spans="1:81" s="6" customFormat="1" x14ac:dyDescent="0.25">
      <c r="A53" s="361" t="s">
        <v>87</v>
      </c>
      <c r="B53" s="276" t="s">
        <v>35</v>
      </c>
      <c r="C53" s="278" t="s">
        <v>25</v>
      </c>
      <c r="D53" s="278" t="s">
        <v>119</v>
      </c>
      <c r="E53" s="278">
        <v>1</v>
      </c>
      <c r="F53" s="280">
        <f>G53</f>
        <v>1642.6008899999999</v>
      </c>
      <c r="G53" s="280">
        <f>1642600.89/1000</f>
        <v>1642.6008899999999</v>
      </c>
      <c r="H53" s="282">
        <f>G53/G76</f>
        <v>5.6864955806934835E-3</v>
      </c>
      <c r="I53" s="284">
        <v>0</v>
      </c>
      <c r="J53" s="301">
        <f t="shared" si="14"/>
        <v>0</v>
      </c>
      <c r="K53" s="319">
        <v>45108</v>
      </c>
      <c r="L53" s="319">
        <v>45199</v>
      </c>
      <c r="M53" s="270"/>
      <c r="N53" s="270"/>
      <c r="O53" s="47" t="s">
        <v>26</v>
      </c>
      <c r="P53" s="74"/>
      <c r="Q53" s="75"/>
      <c r="R53" s="75"/>
      <c r="S53" s="76"/>
      <c r="T53" s="74"/>
      <c r="U53" s="75"/>
      <c r="V53" s="75"/>
      <c r="W53" s="76"/>
      <c r="X53" s="74"/>
      <c r="Y53" s="150"/>
      <c r="Z53" s="150"/>
      <c r="AA53" s="151"/>
      <c r="AB53" s="149"/>
      <c r="AC53" s="150"/>
      <c r="AD53" s="150"/>
      <c r="AE53" s="151"/>
      <c r="AF53" s="149"/>
      <c r="AG53" s="150"/>
      <c r="AH53" s="150"/>
      <c r="AI53" s="151"/>
      <c r="AJ53" s="149"/>
      <c r="AK53" s="150"/>
      <c r="AL53" s="150"/>
      <c r="AM53" s="151"/>
      <c r="AN53" s="149"/>
      <c r="AO53" s="150"/>
      <c r="AP53" s="150"/>
      <c r="AQ53" s="151"/>
      <c r="AR53" s="149"/>
      <c r="AS53" s="150"/>
      <c r="AT53" s="150"/>
      <c r="AU53" s="151"/>
      <c r="AV53" s="149"/>
      <c r="AW53" s="150"/>
      <c r="AX53" s="150"/>
      <c r="AY53" s="151"/>
      <c r="AZ53" s="149"/>
      <c r="BA53" s="150"/>
      <c r="BB53" s="150"/>
      <c r="BC53" s="151"/>
      <c r="BD53" s="146">
        <v>2</v>
      </c>
      <c r="BE53" s="147">
        <v>2</v>
      </c>
      <c r="BF53" s="147">
        <v>2</v>
      </c>
      <c r="BG53" s="148">
        <v>2</v>
      </c>
      <c r="BH53" s="146">
        <v>2</v>
      </c>
      <c r="BI53" s="147">
        <v>2</v>
      </c>
      <c r="BJ53" s="147">
        <v>2</v>
      </c>
      <c r="BK53" s="148">
        <v>2</v>
      </c>
      <c r="BL53" s="146">
        <v>2</v>
      </c>
      <c r="BM53" s="147">
        <v>2</v>
      </c>
      <c r="BN53" s="147">
        <v>2</v>
      </c>
      <c r="BO53" s="148">
        <v>2</v>
      </c>
      <c r="BP53" s="149"/>
      <c r="BQ53" s="150"/>
      <c r="BR53" s="150"/>
      <c r="BS53" s="151"/>
      <c r="BT53" s="149"/>
      <c r="BU53" s="150"/>
      <c r="BV53" s="150"/>
      <c r="BW53" s="151"/>
      <c r="BX53" s="149"/>
      <c r="BY53" s="150"/>
      <c r="BZ53" s="150"/>
      <c r="CA53" s="151"/>
      <c r="CB53" s="77"/>
      <c r="CC53" s="78"/>
    </row>
    <row r="54" spans="1:81" s="6" customFormat="1" ht="15.75" thickBot="1" x14ac:dyDescent="0.3">
      <c r="A54" s="362"/>
      <c r="B54" s="277"/>
      <c r="C54" s="279"/>
      <c r="D54" s="279"/>
      <c r="E54" s="279"/>
      <c r="F54" s="281"/>
      <c r="G54" s="281"/>
      <c r="H54" s="283"/>
      <c r="I54" s="285"/>
      <c r="J54" s="302"/>
      <c r="K54" s="320"/>
      <c r="L54" s="320"/>
      <c r="M54" s="271"/>
      <c r="N54" s="271"/>
      <c r="O54" s="48" t="s">
        <v>27</v>
      </c>
      <c r="P54" s="79"/>
      <c r="Q54" s="80"/>
      <c r="R54" s="80"/>
      <c r="S54" s="81"/>
      <c r="T54" s="79"/>
      <c r="U54" s="80"/>
      <c r="V54" s="80"/>
      <c r="W54" s="81"/>
      <c r="X54" s="79"/>
      <c r="Y54" s="153"/>
      <c r="Z54" s="153"/>
      <c r="AA54" s="154"/>
      <c r="AB54" s="152"/>
      <c r="AC54" s="153"/>
      <c r="AD54" s="153"/>
      <c r="AE54" s="154"/>
      <c r="AF54" s="152"/>
      <c r="AG54" s="153"/>
      <c r="AH54" s="153"/>
      <c r="AI54" s="154"/>
      <c r="AJ54" s="152"/>
      <c r="AK54" s="153"/>
      <c r="AL54" s="153"/>
      <c r="AM54" s="154"/>
      <c r="AN54" s="152"/>
      <c r="AO54" s="153"/>
      <c r="AP54" s="153"/>
      <c r="AQ54" s="154"/>
      <c r="AR54" s="152"/>
      <c r="AS54" s="153"/>
      <c r="AT54" s="153"/>
      <c r="AU54" s="154"/>
      <c r="AV54" s="152"/>
      <c r="AW54" s="153"/>
      <c r="AX54" s="153"/>
      <c r="AY54" s="154"/>
      <c r="AZ54" s="152"/>
      <c r="BA54" s="153"/>
      <c r="BB54" s="153"/>
      <c r="BC54" s="154"/>
      <c r="BD54" s="152"/>
      <c r="BE54" s="153"/>
      <c r="BF54" s="153"/>
      <c r="BG54" s="154"/>
      <c r="BH54" s="152"/>
      <c r="BI54" s="153"/>
      <c r="BJ54" s="153"/>
      <c r="BK54" s="154"/>
      <c r="BL54" s="152"/>
      <c r="BM54" s="153"/>
      <c r="BN54" s="153"/>
      <c r="BO54" s="154"/>
      <c r="BP54" s="152"/>
      <c r="BQ54" s="153"/>
      <c r="BR54" s="153"/>
      <c r="BS54" s="154"/>
      <c r="BT54" s="152"/>
      <c r="BU54" s="153"/>
      <c r="BV54" s="153"/>
      <c r="BW54" s="154"/>
      <c r="BX54" s="152"/>
      <c r="BY54" s="153"/>
      <c r="BZ54" s="153"/>
      <c r="CA54" s="154"/>
      <c r="CB54" s="82"/>
      <c r="CC54" s="83"/>
    </row>
    <row r="55" spans="1:81" s="6" customFormat="1" x14ac:dyDescent="0.25">
      <c r="A55" s="361" t="s">
        <v>88</v>
      </c>
      <c r="B55" s="359" t="s">
        <v>103</v>
      </c>
      <c r="C55" s="278" t="s">
        <v>25</v>
      </c>
      <c r="D55" s="278" t="s">
        <v>119</v>
      </c>
      <c r="E55" s="278">
        <v>1</v>
      </c>
      <c r="F55" s="280">
        <f>G55</f>
        <v>70.042630000000003</v>
      </c>
      <c r="G55" s="280">
        <f>70042.63/1000</f>
        <v>70.042630000000003</v>
      </c>
      <c r="H55" s="282">
        <f>G55/G76</f>
        <v>2.4247953862678646E-4</v>
      </c>
      <c r="I55" s="284">
        <v>0</v>
      </c>
      <c r="J55" s="301">
        <f t="shared" si="14"/>
        <v>0</v>
      </c>
      <c r="K55" s="319">
        <v>45108</v>
      </c>
      <c r="L55" s="290">
        <v>45169</v>
      </c>
      <c r="M55" s="270"/>
      <c r="N55" s="270"/>
      <c r="O55" s="47" t="s">
        <v>26</v>
      </c>
      <c r="P55" s="74"/>
      <c r="Q55" s="75"/>
      <c r="R55" s="75"/>
      <c r="S55" s="76"/>
      <c r="T55" s="74"/>
      <c r="U55" s="75"/>
      <c r="V55" s="75"/>
      <c r="W55" s="76"/>
      <c r="X55" s="74"/>
      <c r="Y55" s="150"/>
      <c r="Z55" s="150"/>
      <c r="AA55" s="151"/>
      <c r="AB55" s="149"/>
      <c r="AC55" s="150"/>
      <c r="AD55" s="150"/>
      <c r="AE55" s="151"/>
      <c r="AF55" s="149"/>
      <c r="AG55" s="150"/>
      <c r="AH55" s="150"/>
      <c r="AI55" s="151"/>
      <c r="AJ55" s="149"/>
      <c r="AK55" s="150"/>
      <c r="AL55" s="150"/>
      <c r="AM55" s="151"/>
      <c r="AN55" s="149"/>
      <c r="AO55" s="150"/>
      <c r="AP55" s="150"/>
      <c r="AQ55" s="151"/>
      <c r="AR55" s="149"/>
      <c r="AS55" s="150"/>
      <c r="AT55" s="150"/>
      <c r="AU55" s="151"/>
      <c r="AV55" s="149"/>
      <c r="AW55" s="150"/>
      <c r="AX55" s="150"/>
      <c r="AY55" s="151"/>
      <c r="AZ55" s="149"/>
      <c r="BA55" s="150"/>
      <c r="BB55" s="150"/>
      <c r="BC55" s="151"/>
      <c r="BD55" s="146">
        <v>2</v>
      </c>
      <c r="BE55" s="147">
        <v>2</v>
      </c>
      <c r="BF55" s="147">
        <v>2</v>
      </c>
      <c r="BG55" s="148">
        <v>2</v>
      </c>
      <c r="BH55" s="146">
        <v>2</v>
      </c>
      <c r="BI55" s="147">
        <v>2</v>
      </c>
      <c r="BJ55" s="147">
        <v>2</v>
      </c>
      <c r="BK55" s="148">
        <v>2</v>
      </c>
      <c r="BL55" s="149"/>
      <c r="BM55" s="150"/>
      <c r="BN55" s="150"/>
      <c r="BO55" s="151"/>
      <c r="BP55" s="149"/>
      <c r="BQ55" s="150"/>
      <c r="BR55" s="150"/>
      <c r="BS55" s="151"/>
      <c r="BT55" s="149"/>
      <c r="BU55" s="150"/>
      <c r="BV55" s="150"/>
      <c r="BW55" s="151"/>
      <c r="BX55" s="149"/>
      <c r="BY55" s="150"/>
      <c r="BZ55" s="150"/>
      <c r="CA55" s="151"/>
      <c r="CB55" s="77"/>
      <c r="CC55" s="78"/>
    </row>
    <row r="56" spans="1:81" s="6" customFormat="1" ht="15.75" thickBot="1" x14ac:dyDescent="0.3">
      <c r="A56" s="362"/>
      <c r="B56" s="360"/>
      <c r="C56" s="279"/>
      <c r="D56" s="279"/>
      <c r="E56" s="279"/>
      <c r="F56" s="281"/>
      <c r="G56" s="281"/>
      <c r="H56" s="283"/>
      <c r="I56" s="285"/>
      <c r="J56" s="302"/>
      <c r="K56" s="320"/>
      <c r="L56" s="291"/>
      <c r="M56" s="271"/>
      <c r="N56" s="271"/>
      <c r="O56" s="48" t="s">
        <v>27</v>
      </c>
      <c r="P56" s="79"/>
      <c r="Q56" s="80"/>
      <c r="R56" s="80"/>
      <c r="S56" s="81"/>
      <c r="T56" s="79"/>
      <c r="U56" s="80"/>
      <c r="V56" s="80"/>
      <c r="W56" s="81"/>
      <c r="X56" s="79"/>
      <c r="Y56" s="153"/>
      <c r="Z56" s="153"/>
      <c r="AA56" s="154"/>
      <c r="AB56" s="152"/>
      <c r="AC56" s="153"/>
      <c r="AD56" s="153"/>
      <c r="AE56" s="154"/>
      <c r="AF56" s="152"/>
      <c r="AG56" s="153"/>
      <c r="AH56" s="153"/>
      <c r="AI56" s="154"/>
      <c r="AJ56" s="152"/>
      <c r="AK56" s="153"/>
      <c r="AL56" s="153"/>
      <c r="AM56" s="154"/>
      <c r="AN56" s="152"/>
      <c r="AO56" s="153"/>
      <c r="AP56" s="153"/>
      <c r="AQ56" s="154"/>
      <c r="AR56" s="152"/>
      <c r="AS56" s="153"/>
      <c r="AT56" s="153"/>
      <c r="AU56" s="154"/>
      <c r="AV56" s="152"/>
      <c r="AW56" s="153"/>
      <c r="AX56" s="153"/>
      <c r="AY56" s="154"/>
      <c r="AZ56" s="152"/>
      <c r="BA56" s="153"/>
      <c r="BB56" s="153"/>
      <c r="BC56" s="154"/>
      <c r="BD56" s="152"/>
      <c r="BE56" s="153"/>
      <c r="BF56" s="153"/>
      <c r="BG56" s="154"/>
      <c r="BH56" s="152"/>
      <c r="BI56" s="153"/>
      <c r="BJ56" s="153"/>
      <c r="BK56" s="154"/>
      <c r="BL56" s="152"/>
      <c r="BM56" s="153"/>
      <c r="BN56" s="153"/>
      <c r="BO56" s="154"/>
      <c r="BP56" s="152"/>
      <c r="BQ56" s="153"/>
      <c r="BR56" s="153"/>
      <c r="BS56" s="154"/>
      <c r="BT56" s="152"/>
      <c r="BU56" s="153"/>
      <c r="BV56" s="153"/>
      <c r="BW56" s="154"/>
      <c r="BX56" s="152"/>
      <c r="BY56" s="153"/>
      <c r="BZ56" s="153"/>
      <c r="CA56" s="154"/>
      <c r="CB56" s="82"/>
      <c r="CC56" s="83"/>
    </row>
    <row r="57" spans="1:81" s="16" customFormat="1" ht="17.25" customHeight="1" thickBot="1" x14ac:dyDescent="0.25">
      <c r="A57" s="97" t="s">
        <v>17</v>
      </c>
      <c r="B57" s="91" t="s">
        <v>14</v>
      </c>
      <c r="C57" s="59"/>
      <c r="D57" s="59"/>
      <c r="E57" s="59"/>
      <c r="F57" s="144"/>
      <c r="G57" s="144"/>
      <c r="H57" s="59"/>
      <c r="I57" s="59"/>
      <c r="J57" s="59"/>
      <c r="K57" s="70">
        <v>45139</v>
      </c>
      <c r="L57" s="70">
        <v>45245</v>
      </c>
      <c r="M57" s="91"/>
      <c r="N57" s="91"/>
      <c r="O57" s="51"/>
      <c r="P57" s="92"/>
      <c r="Q57" s="93"/>
      <c r="R57" s="93"/>
      <c r="S57" s="94"/>
      <c r="T57" s="92"/>
      <c r="U57" s="93"/>
      <c r="V57" s="93"/>
      <c r="W57" s="94"/>
      <c r="X57" s="92"/>
      <c r="Y57" s="162"/>
      <c r="Z57" s="162"/>
      <c r="AA57" s="163"/>
      <c r="AB57" s="161"/>
      <c r="AC57" s="162"/>
      <c r="AD57" s="162"/>
      <c r="AE57" s="163"/>
      <c r="AF57" s="161"/>
      <c r="AG57" s="162"/>
      <c r="AH57" s="162"/>
      <c r="AI57" s="163"/>
      <c r="AJ57" s="161"/>
      <c r="AK57" s="162"/>
      <c r="AL57" s="162"/>
      <c r="AM57" s="163"/>
      <c r="AN57" s="161"/>
      <c r="AO57" s="162"/>
      <c r="AP57" s="162"/>
      <c r="AQ57" s="163"/>
      <c r="AR57" s="161"/>
      <c r="AS57" s="162"/>
      <c r="AT57" s="162"/>
      <c r="AU57" s="163"/>
      <c r="AV57" s="161"/>
      <c r="AW57" s="162"/>
      <c r="AX57" s="162"/>
      <c r="AY57" s="163"/>
      <c r="AZ57" s="161"/>
      <c r="BA57" s="162"/>
      <c r="BB57" s="162"/>
      <c r="BC57" s="163"/>
      <c r="BD57" s="161"/>
      <c r="BE57" s="162"/>
      <c r="BF57" s="162"/>
      <c r="BG57" s="163"/>
      <c r="BH57" s="161"/>
      <c r="BI57" s="162"/>
      <c r="BJ57" s="162"/>
      <c r="BK57" s="163"/>
      <c r="BL57" s="161"/>
      <c r="BM57" s="162"/>
      <c r="BN57" s="162"/>
      <c r="BO57" s="163"/>
      <c r="BP57" s="161"/>
      <c r="BQ57" s="162"/>
      <c r="BR57" s="162"/>
      <c r="BS57" s="163"/>
      <c r="BT57" s="161"/>
      <c r="BU57" s="162"/>
      <c r="BV57" s="162"/>
      <c r="BW57" s="163"/>
      <c r="BX57" s="161"/>
      <c r="BY57" s="162"/>
      <c r="BZ57" s="162"/>
      <c r="CA57" s="163"/>
      <c r="CB57" s="95"/>
      <c r="CC57" s="96"/>
    </row>
    <row r="58" spans="1:81" s="6" customFormat="1" ht="17.25" customHeight="1" x14ac:dyDescent="0.25">
      <c r="A58" s="361" t="s">
        <v>89</v>
      </c>
      <c r="B58" s="276" t="s">
        <v>37</v>
      </c>
      <c r="C58" s="278" t="s">
        <v>25</v>
      </c>
      <c r="D58" s="278" t="s">
        <v>119</v>
      </c>
      <c r="E58" s="278">
        <v>1</v>
      </c>
      <c r="F58" s="280">
        <f>G58</f>
        <v>1331.4828</v>
      </c>
      <c r="G58" s="280">
        <f>1331482.8/1000</f>
        <v>1331.4828</v>
      </c>
      <c r="H58" s="282">
        <f>G58/G76</f>
        <v>4.6094404940748481E-3</v>
      </c>
      <c r="I58" s="284">
        <v>0</v>
      </c>
      <c r="J58" s="301">
        <f t="shared" ref="J58:J62" si="15">I58*H58</f>
        <v>0</v>
      </c>
      <c r="K58" s="319">
        <v>45139</v>
      </c>
      <c r="L58" s="319">
        <v>45184</v>
      </c>
      <c r="M58" s="270"/>
      <c r="N58" s="270"/>
      <c r="O58" s="47" t="s">
        <v>26</v>
      </c>
      <c r="P58" s="74"/>
      <c r="Q58" s="75"/>
      <c r="R58" s="75"/>
      <c r="S58" s="76"/>
      <c r="T58" s="74"/>
      <c r="U58" s="75"/>
      <c r="V58" s="75"/>
      <c r="W58" s="76"/>
      <c r="X58" s="74"/>
      <c r="Y58" s="150"/>
      <c r="Z58" s="150"/>
      <c r="AA58" s="151"/>
      <c r="AB58" s="149"/>
      <c r="AC58" s="150"/>
      <c r="AD58" s="150"/>
      <c r="AE58" s="151"/>
      <c r="AF58" s="149"/>
      <c r="AG58" s="150"/>
      <c r="AH58" s="150"/>
      <c r="AI58" s="151"/>
      <c r="AJ58" s="149"/>
      <c r="AK58" s="150"/>
      <c r="AL58" s="150"/>
      <c r="AM58" s="151"/>
      <c r="AN58" s="149"/>
      <c r="AO58" s="150"/>
      <c r="AP58" s="150"/>
      <c r="AQ58" s="151"/>
      <c r="AR58" s="149"/>
      <c r="AS58" s="150"/>
      <c r="AT58" s="150"/>
      <c r="AU58" s="151"/>
      <c r="AV58" s="149"/>
      <c r="AW58" s="150"/>
      <c r="AX58" s="150"/>
      <c r="AY58" s="151"/>
      <c r="AZ58" s="149"/>
      <c r="BA58" s="150"/>
      <c r="BB58" s="150"/>
      <c r="BC58" s="151"/>
      <c r="BD58" s="149"/>
      <c r="BE58" s="150"/>
      <c r="BF58" s="150"/>
      <c r="BG58" s="151"/>
      <c r="BH58" s="146">
        <v>2</v>
      </c>
      <c r="BI58" s="147">
        <v>2</v>
      </c>
      <c r="BJ58" s="147">
        <v>2</v>
      </c>
      <c r="BK58" s="148">
        <v>2</v>
      </c>
      <c r="BL58" s="146">
        <v>2</v>
      </c>
      <c r="BM58" s="147">
        <v>2</v>
      </c>
      <c r="BN58" s="150"/>
      <c r="BO58" s="151"/>
      <c r="BP58" s="149"/>
      <c r="BQ58" s="150"/>
      <c r="BR58" s="150"/>
      <c r="BS58" s="151"/>
      <c r="BT58" s="149"/>
      <c r="BU58" s="150"/>
      <c r="BV58" s="150"/>
      <c r="BW58" s="151"/>
      <c r="BX58" s="149"/>
      <c r="BY58" s="150"/>
      <c r="BZ58" s="150"/>
      <c r="CA58" s="151"/>
      <c r="CB58" s="77"/>
      <c r="CC58" s="78"/>
    </row>
    <row r="59" spans="1:81" s="6" customFormat="1" ht="15.75" thickBot="1" x14ac:dyDescent="0.3">
      <c r="A59" s="362"/>
      <c r="B59" s="277"/>
      <c r="C59" s="279"/>
      <c r="D59" s="279"/>
      <c r="E59" s="279"/>
      <c r="F59" s="281"/>
      <c r="G59" s="281"/>
      <c r="H59" s="283"/>
      <c r="I59" s="285"/>
      <c r="J59" s="302"/>
      <c r="K59" s="320"/>
      <c r="L59" s="320"/>
      <c r="M59" s="271"/>
      <c r="N59" s="271"/>
      <c r="O59" s="48" t="s">
        <v>27</v>
      </c>
      <c r="P59" s="79"/>
      <c r="Q59" s="80"/>
      <c r="R59" s="80"/>
      <c r="S59" s="81"/>
      <c r="T59" s="79"/>
      <c r="U59" s="80"/>
      <c r="V59" s="80"/>
      <c r="W59" s="81"/>
      <c r="X59" s="79"/>
      <c r="Y59" s="153"/>
      <c r="Z59" s="153"/>
      <c r="AA59" s="154"/>
      <c r="AB59" s="152"/>
      <c r="AC59" s="153"/>
      <c r="AD59" s="153"/>
      <c r="AE59" s="154"/>
      <c r="AF59" s="152"/>
      <c r="AG59" s="153"/>
      <c r="AH59" s="153"/>
      <c r="AI59" s="154"/>
      <c r="AJ59" s="152"/>
      <c r="AK59" s="153"/>
      <c r="AL59" s="153"/>
      <c r="AM59" s="154"/>
      <c r="AN59" s="152"/>
      <c r="AO59" s="153"/>
      <c r="AP59" s="153"/>
      <c r="AQ59" s="154"/>
      <c r="AR59" s="152"/>
      <c r="AS59" s="153"/>
      <c r="AT59" s="153"/>
      <c r="AU59" s="154"/>
      <c r="AV59" s="152"/>
      <c r="AW59" s="153"/>
      <c r="AX59" s="153"/>
      <c r="AY59" s="154"/>
      <c r="AZ59" s="152"/>
      <c r="BA59" s="153"/>
      <c r="BB59" s="153"/>
      <c r="BC59" s="154"/>
      <c r="BD59" s="152"/>
      <c r="BE59" s="153"/>
      <c r="BF59" s="153"/>
      <c r="BG59" s="154"/>
      <c r="BH59" s="152"/>
      <c r="BI59" s="153"/>
      <c r="BJ59" s="153"/>
      <c r="BK59" s="154"/>
      <c r="BL59" s="152"/>
      <c r="BM59" s="153"/>
      <c r="BN59" s="153"/>
      <c r="BO59" s="154"/>
      <c r="BP59" s="152"/>
      <c r="BQ59" s="153"/>
      <c r="BR59" s="153"/>
      <c r="BS59" s="154"/>
      <c r="BT59" s="152"/>
      <c r="BU59" s="153"/>
      <c r="BV59" s="153"/>
      <c r="BW59" s="154"/>
      <c r="BX59" s="152"/>
      <c r="BY59" s="153"/>
      <c r="BZ59" s="153"/>
      <c r="CA59" s="154"/>
      <c r="CB59" s="82"/>
      <c r="CC59" s="83"/>
    </row>
    <row r="60" spans="1:81" s="6" customFormat="1" x14ac:dyDescent="0.25">
      <c r="A60" s="361" t="s">
        <v>90</v>
      </c>
      <c r="B60" s="276" t="s">
        <v>112</v>
      </c>
      <c r="C60" s="278" t="s">
        <v>25</v>
      </c>
      <c r="D60" s="278" t="s">
        <v>119</v>
      </c>
      <c r="E60" s="278">
        <v>1</v>
      </c>
      <c r="F60" s="280">
        <f>G60</f>
        <v>16688.47406</v>
      </c>
      <c r="G60" s="280">
        <f>(15776080.74+137300.95+599073.07+176019.3)/1000</f>
        <v>16688.47406</v>
      </c>
      <c r="H60" s="282">
        <f>G60/G76</f>
        <v>5.7773580039097536E-2</v>
      </c>
      <c r="I60" s="284">
        <v>0</v>
      </c>
      <c r="J60" s="301">
        <f t="shared" si="15"/>
        <v>0</v>
      </c>
      <c r="K60" s="319">
        <v>45139</v>
      </c>
      <c r="L60" s="319">
        <v>45199</v>
      </c>
      <c r="M60" s="270"/>
      <c r="N60" s="270"/>
      <c r="O60" s="47" t="s">
        <v>26</v>
      </c>
      <c r="P60" s="74"/>
      <c r="Q60" s="75"/>
      <c r="R60" s="75"/>
      <c r="S60" s="76"/>
      <c r="T60" s="74"/>
      <c r="U60" s="75"/>
      <c r="V60" s="75"/>
      <c r="W60" s="76"/>
      <c r="X60" s="74"/>
      <c r="Y60" s="150"/>
      <c r="Z60" s="150"/>
      <c r="AA60" s="151"/>
      <c r="AB60" s="149"/>
      <c r="AC60" s="150"/>
      <c r="AD60" s="150"/>
      <c r="AE60" s="151"/>
      <c r="AF60" s="149"/>
      <c r="AG60" s="150"/>
      <c r="AH60" s="150"/>
      <c r="AI60" s="151"/>
      <c r="AJ60" s="149"/>
      <c r="AK60" s="150"/>
      <c r="AL60" s="150"/>
      <c r="AM60" s="151"/>
      <c r="AN60" s="149"/>
      <c r="AO60" s="150"/>
      <c r="AP60" s="150"/>
      <c r="AQ60" s="151"/>
      <c r="AR60" s="149"/>
      <c r="AS60" s="150"/>
      <c r="AT60" s="150"/>
      <c r="AU60" s="151"/>
      <c r="AV60" s="149"/>
      <c r="AW60" s="150"/>
      <c r="AX60" s="150"/>
      <c r="AY60" s="151"/>
      <c r="AZ60" s="149"/>
      <c r="BA60" s="150"/>
      <c r="BB60" s="150"/>
      <c r="BC60" s="151"/>
      <c r="BD60" s="149"/>
      <c r="BE60" s="150"/>
      <c r="BF60" s="150"/>
      <c r="BG60" s="151"/>
      <c r="BH60" s="146">
        <v>3</v>
      </c>
      <c r="BI60" s="147">
        <v>3</v>
      </c>
      <c r="BJ60" s="147">
        <v>3</v>
      </c>
      <c r="BK60" s="148">
        <v>3</v>
      </c>
      <c r="BL60" s="146">
        <v>3</v>
      </c>
      <c r="BM60" s="147">
        <v>3</v>
      </c>
      <c r="BN60" s="147">
        <v>3</v>
      </c>
      <c r="BO60" s="148">
        <v>3</v>
      </c>
      <c r="BP60" s="149"/>
      <c r="BQ60" s="150"/>
      <c r="BR60" s="150"/>
      <c r="BS60" s="151"/>
      <c r="BT60" s="149"/>
      <c r="BU60" s="150"/>
      <c r="BV60" s="150"/>
      <c r="BW60" s="151"/>
      <c r="BX60" s="149"/>
      <c r="BY60" s="150"/>
      <c r="BZ60" s="150"/>
      <c r="CA60" s="151"/>
      <c r="CB60" s="77"/>
      <c r="CC60" s="78"/>
    </row>
    <row r="61" spans="1:81" s="6" customFormat="1" ht="33.75" customHeight="1" thickBot="1" x14ac:dyDescent="0.3">
      <c r="A61" s="362"/>
      <c r="B61" s="277"/>
      <c r="C61" s="279"/>
      <c r="D61" s="279"/>
      <c r="E61" s="279"/>
      <c r="F61" s="281"/>
      <c r="G61" s="281"/>
      <c r="H61" s="283"/>
      <c r="I61" s="285"/>
      <c r="J61" s="302"/>
      <c r="K61" s="320"/>
      <c r="L61" s="320"/>
      <c r="M61" s="271"/>
      <c r="N61" s="271"/>
      <c r="O61" s="48" t="s">
        <v>27</v>
      </c>
      <c r="P61" s="79"/>
      <c r="Q61" s="80"/>
      <c r="R61" s="80"/>
      <c r="S61" s="81"/>
      <c r="T61" s="79"/>
      <c r="U61" s="80"/>
      <c r="V61" s="80"/>
      <c r="W61" s="81"/>
      <c r="X61" s="79"/>
      <c r="Y61" s="153"/>
      <c r="Z61" s="153"/>
      <c r="AA61" s="154"/>
      <c r="AB61" s="152"/>
      <c r="AC61" s="153"/>
      <c r="AD61" s="153"/>
      <c r="AE61" s="154"/>
      <c r="AF61" s="152"/>
      <c r="AG61" s="153"/>
      <c r="AH61" s="153"/>
      <c r="AI61" s="154"/>
      <c r="AJ61" s="152"/>
      <c r="AK61" s="153"/>
      <c r="AL61" s="153"/>
      <c r="AM61" s="154"/>
      <c r="AN61" s="152"/>
      <c r="AO61" s="153"/>
      <c r="AP61" s="153"/>
      <c r="AQ61" s="154"/>
      <c r="AR61" s="152"/>
      <c r="AS61" s="153"/>
      <c r="AT61" s="153"/>
      <c r="AU61" s="154"/>
      <c r="AV61" s="152"/>
      <c r="AW61" s="153"/>
      <c r="AX61" s="153"/>
      <c r="AY61" s="154"/>
      <c r="AZ61" s="152"/>
      <c r="BA61" s="153"/>
      <c r="BB61" s="153"/>
      <c r="BC61" s="154"/>
      <c r="BD61" s="152"/>
      <c r="BE61" s="153"/>
      <c r="BF61" s="153"/>
      <c r="BG61" s="154"/>
      <c r="BH61" s="152"/>
      <c r="BI61" s="153"/>
      <c r="BJ61" s="153"/>
      <c r="BK61" s="154"/>
      <c r="BL61" s="152"/>
      <c r="BM61" s="153"/>
      <c r="BN61" s="153"/>
      <c r="BO61" s="154"/>
      <c r="BP61" s="152"/>
      <c r="BQ61" s="153"/>
      <c r="BR61" s="153"/>
      <c r="BS61" s="154"/>
      <c r="BT61" s="152"/>
      <c r="BU61" s="153"/>
      <c r="BV61" s="153"/>
      <c r="BW61" s="154"/>
      <c r="BX61" s="152"/>
      <c r="BY61" s="153"/>
      <c r="BZ61" s="153"/>
      <c r="CA61" s="154"/>
      <c r="CB61" s="82"/>
      <c r="CC61" s="83"/>
    </row>
    <row r="62" spans="1:81" s="6" customFormat="1" x14ac:dyDescent="0.25">
      <c r="A62" s="361" t="s">
        <v>91</v>
      </c>
      <c r="B62" s="276" t="s">
        <v>62</v>
      </c>
      <c r="C62" s="278" t="s">
        <v>25</v>
      </c>
      <c r="D62" s="278" t="s">
        <v>119</v>
      </c>
      <c r="E62" s="278">
        <v>1</v>
      </c>
      <c r="F62" s="280">
        <f>G62</f>
        <v>1643.5953300000001</v>
      </c>
      <c r="G62" s="280">
        <f>1643595.33/1000</f>
        <v>1643.5953300000001</v>
      </c>
      <c r="H62" s="282">
        <f>G62/G76</f>
        <v>5.689938217733127E-3</v>
      </c>
      <c r="I62" s="284">
        <v>0</v>
      </c>
      <c r="J62" s="301">
        <f t="shared" si="15"/>
        <v>0</v>
      </c>
      <c r="K62" s="319">
        <v>45139</v>
      </c>
      <c r="L62" s="319">
        <v>45199</v>
      </c>
      <c r="M62" s="270"/>
      <c r="N62" s="270"/>
      <c r="O62" s="47" t="s">
        <v>26</v>
      </c>
      <c r="P62" s="74"/>
      <c r="Q62" s="75"/>
      <c r="R62" s="75"/>
      <c r="S62" s="76"/>
      <c r="T62" s="74"/>
      <c r="U62" s="75"/>
      <c r="V62" s="75"/>
      <c r="W62" s="76"/>
      <c r="X62" s="74"/>
      <c r="Y62" s="150"/>
      <c r="Z62" s="150"/>
      <c r="AA62" s="151"/>
      <c r="AB62" s="149"/>
      <c r="AC62" s="150"/>
      <c r="AD62" s="150"/>
      <c r="AE62" s="151"/>
      <c r="AF62" s="149"/>
      <c r="AG62" s="150"/>
      <c r="AH62" s="150"/>
      <c r="AI62" s="151"/>
      <c r="AJ62" s="149"/>
      <c r="AK62" s="150"/>
      <c r="AL62" s="150"/>
      <c r="AM62" s="151"/>
      <c r="AN62" s="149"/>
      <c r="AO62" s="150"/>
      <c r="AP62" s="150"/>
      <c r="AQ62" s="151"/>
      <c r="AR62" s="149"/>
      <c r="AS62" s="150"/>
      <c r="AT62" s="150"/>
      <c r="AU62" s="151"/>
      <c r="AV62" s="149"/>
      <c r="AW62" s="150"/>
      <c r="AX62" s="150"/>
      <c r="AY62" s="151"/>
      <c r="AZ62" s="149"/>
      <c r="BA62" s="150"/>
      <c r="BB62" s="150"/>
      <c r="BC62" s="151"/>
      <c r="BD62" s="149"/>
      <c r="BE62" s="150"/>
      <c r="BF62" s="150"/>
      <c r="BG62" s="151"/>
      <c r="BH62" s="146">
        <v>2</v>
      </c>
      <c r="BI62" s="147">
        <v>2</v>
      </c>
      <c r="BJ62" s="147">
        <v>2</v>
      </c>
      <c r="BK62" s="148">
        <v>2</v>
      </c>
      <c r="BL62" s="146">
        <v>2</v>
      </c>
      <c r="BM62" s="147">
        <v>2</v>
      </c>
      <c r="BN62" s="147">
        <v>2</v>
      </c>
      <c r="BO62" s="148">
        <v>2</v>
      </c>
      <c r="BP62" s="149"/>
      <c r="BQ62" s="150"/>
      <c r="BR62" s="150"/>
      <c r="BS62" s="151"/>
      <c r="BT62" s="149"/>
      <c r="BU62" s="150"/>
      <c r="BV62" s="150"/>
      <c r="BW62" s="151"/>
      <c r="BX62" s="149"/>
      <c r="BY62" s="150"/>
      <c r="BZ62" s="150"/>
      <c r="CA62" s="151"/>
      <c r="CB62" s="77"/>
      <c r="CC62" s="78"/>
    </row>
    <row r="63" spans="1:81" s="6" customFormat="1" ht="15.75" thickBot="1" x14ac:dyDescent="0.3">
      <c r="A63" s="362"/>
      <c r="B63" s="277"/>
      <c r="C63" s="279"/>
      <c r="D63" s="279"/>
      <c r="E63" s="279"/>
      <c r="F63" s="281"/>
      <c r="G63" s="281"/>
      <c r="H63" s="283"/>
      <c r="I63" s="285"/>
      <c r="J63" s="302"/>
      <c r="K63" s="320"/>
      <c r="L63" s="320"/>
      <c r="M63" s="271"/>
      <c r="N63" s="271"/>
      <c r="O63" s="48" t="s">
        <v>27</v>
      </c>
      <c r="P63" s="79"/>
      <c r="Q63" s="80"/>
      <c r="R63" s="80"/>
      <c r="S63" s="81"/>
      <c r="T63" s="79"/>
      <c r="U63" s="80"/>
      <c r="V63" s="80"/>
      <c r="W63" s="81"/>
      <c r="X63" s="79"/>
      <c r="Y63" s="153"/>
      <c r="Z63" s="153"/>
      <c r="AA63" s="154"/>
      <c r="AB63" s="152"/>
      <c r="AC63" s="153"/>
      <c r="AD63" s="153"/>
      <c r="AE63" s="154"/>
      <c r="AF63" s="152"/>
      <c r="AG63" s="153"/>
      <c r="AH63" s="153"/>
      <c r="AI63" s="154"/>
      <c r="AJ63" s="152"/>
      <c r="AK63" s="153"/>
      <c r="AL63" s="153"/>
      <c r="AM63" s="154"/>
      <c r="AN63" s="152"/>
      <c r="AO63" s="153"/>
      <c r="AP63" s="153"/>
      <c r="AQ63" s="154"/>
      <c r="AR63" s="152"/>
      <c r="AS63" s="153"/>
      <c r="AT63" s="153"/>
      <c r="AU63" s="154"/>
      <c r="AV63" s="152"/>
      <c r="AW63" s="153"/>
      <c r="AX63" s="153"/>
      <c r="AY63" s="154"/>
      <c r="AZ63" s="152"/>
      <c r="BA63" s="153"/>
      <c r="BB63" s="153"/>
      <c r="BC63" s="154"/>
      <c r="BD63" s="152"/>
      <c r="BE63" s="153"/>
      <c r="BF63" s="153"/>
      <c r="BG63" s="154"/>
      <c r="BH63" s="152"/>
      <c r="BI63" s="153"/>
      <c r="BJ63" s="153"/>
      <c r="BK63" s="154"/>
      <c r="BL63" s="152"/>
      <c r="BM63" s="153"/>
      <c r="BN63" s="153"/>
      <c r="BO63" s="154"/>
      <c r="BP63" s="152"/>
      <c r="BQ63" s="153"/>
      <c r="BR63" s="153"/>
      <c r="BS63" s="154"/>
      <c r="BT63" s="152"/>
      <c r="BU63" s="153"/>
      <c r="BV63" s="153"/>
      <c r="BW63" s="154"/>
      <c r="BX63" s="152"/>
      <c r="BY63" s="153"/>
      <c r="BZ63" s="153"/>
      <c r="CA63" s="154"/>
      <c r="CB63" s="82"/>
      <c r="CC63" s="83"/>
    </row>
    <row r="64" spans="1:81" s="202" customFormat="1" x14ac:dyDescent="0.25">
      <c r="A64" s="274" t="s">
        <v>126</v>
      </c>
      <c r="B64" s="276" t="s">
        <v>127</v>
      </c>
      <c r="C64" s="278" t="s">
        <v>25</v>
      </c>
      <c r="D64" s="278" t="s">
        <v>119</v>
      </c>
      <c r="E64" s="278">
        <v>1</v>
      </c>
      <c r="F64" s="280">
        <f>G64</f>
        <v>2897.6019999999999</v>
      </c>
      <c r="G64" s="280">
        <v>2897.6019999999999</v>
      </c>
      <c r="H64" s="282">
        <f>G64/G76</f>
        <v>1.0031165250134864E-2</v>
      </c>
      <c r="I64" s="284">
        <v>0</v>
      </c>
      <c r="J64" s="301">
        <f t="shared" ref="J64" si="16">I64*H64</f>
        <v>0</v>
      </c>
      <c r="K64" s="268">
        <v>45170</v>
      </c>
      <c r="L64" s="268">
        <v>45245</v>
      </c>
      <c r="M64" s="270"/>
      <c r="N64" s="272"/>
      <c r="O64" s="47" t="s">
        <v>26</v>
      </c>
      <c r="P64" s="197"/>
      <c r="Q64" s="198"/>
      <c r="R64" s="198"/>
      <c r="S64" s="199"/>
      <c r="T64" s="197"/>
      <c r="U64" s="198"/>
      <c r="V64" s="198"/>
      <c r="W64" s="199"/>
      <c r="X64" s="197"/>
      <c r="Y64" s="198"/>
      <c r="Z64" s="198"/>
      <c r="AA64" s="199"/>
      <c r="AB64" s="197"/>
      <c r="AC64" s="198"/>
      <c r="AD64" s="198"/>
      <c r="AE64" s="199"/>
      <c r="AF64" s="197"/>
      <c r="AG64" s="198"/>
      <c r="AH64" s="198"/>
      <c r="AI64" s="199"/>
      <c r="AJ64" s="197"/>
      <c r="AK64" s="198"/>
      <c r="AL64" s="198"/>
      <c r="AM64" s="199"/>
      <c r="AN64" s="197"/>
      <c r="AO64" s="198"/>
      <c r="AP64" s="198"/>
      <c r="AQ64" s="199"/>
      <c r="AR64" s="197"/>
      <c r="AS64" s="198"/>
      <c r="AT64" s="198"/>
      <c r="AU64" s="199"/>
      <c r="AV64" s="197"/>
      <c r="AW64" s="198"/>
      <c r="AX64" s="198"/>
      <c r="AY64" s="199"/>
      <c r="AZ64" s="197"/>
      <c r="BA64" s="198"/>
      <c r="BB64" s="198"/>
      <c r="BC64" s="199"/>
      <c r="BD64" s="197"/>
      <c r="BE64" s="198"/>
      <c r="BF64" s="198"/>
      <c r="BG64" s="199"/>
      <c r="BH64" s="197"/>
      <c r="BI64" s="198"/>
      <c r="BJ64" s="198"/>
      <c r="BK64" s="199"/>
      <c r="BL64" s="146">
        <v>2</v>
      </c>
      <c r="BM64" s="147">
        <v>2</v>
      </c>
      <c r="BN64" s="147">
        <v>2</v>
      </c>
      <c r="BO64" s="148">
        <v>2</v>
      </c>
      <c r="BP64" s="146">
        <v>2</v>
      </c>
      <c r="BQ64" s="147">
        <v>2</v>
      </c>
      <c r="BR64" s="147">
        <v>2</v>
      </c>
      <c r="BS64" s="148">
        <v>2</v>
      </c>
      <c r="BT64" s="146">
        <v>2</v>
      </c>
      <c r="BU64" s="147">
        <v>2</v>
      </c>
      <c r="BV64" s="198"/>
      <c r="BW64" s="199"/>
      <c r="BX64" s="197"/>
      <c r="BY64" s="198"/>
      <c r="BZ64" s="198"/>
      <c r="CA64" s="199"/>
      <c r="CB64" s="200"/>
      <c r="CC64" s="201"/>
    </row>
    <row r="65" spans="1:81" s="202" customFormat="1" ht="15.75" thickBot="1" x14ac:dyDescent="0.3">
      <c r="A65" s="275"/>
      <c r="B65" s="277"/>
      <c r="C65" s="279"/>
      <c r="D65" s="279"/>
      <c r="E65" s="279"/>
      <c r="F65" s="281"/>
      <c r="G65" s="281"/>
      <c r="H65" s="283"/>
      <c r="I65" s="285"/>
      <c r="J65" s="302"/>
      <c r="K65" s="269"/>
      <c r="L65" s="269"/>
      <c r="M65" s="271"/>
      <c r="N65" s="273"/>
      <c r="O65" s="48" t="s">
        <v>27</v>
      </c>
      <c r="P65" s="203"/>
      <c r="Q65" s="204"/>
      <c r="R65" s="204"/>
      <c r="S65" s="205"/>
      <c r="T65" s="203"/>
      <c r="U65" s="204"/>
      <c r="V65" s="204"/>
      <c r="W65" s="205"/>
      <c r="X65" s="203"/>
      <c r="Y65" s="204"/>
      <c r="Z65" s="204"/>
      <c r="AA65" s="205"/>
      <c r="AB65" s="203"/>
      <c r="AC65" s="204"/>
      <c r="AD65" s="204"/>
      <c r="AE65" s="205"/>
      <c r="AF65" s="203"/>
      <c r="AG65" s="204"/>
      <c r="AH65" s="204"/>
      <c r="AI65" s="205"/>
      <c r="AJ65" s="203"/>
      <c r="AK65" s="204"/>
      <c r="AL65" s="204"/>
      <c r="AM65" s="205"/>
      <c r="AN65" s="203"/>
      <c r="AO65" s="204"/>
      <c r="AP65" s="204"/>
      <c r="AQ65" s="205"/>
      <c r="AR65" s="203"/>
      <c r="AS65" s="204"/>
      <c r="AT65" s="204"/>
      <c r="AU65" s="205"/>
      <c r="AV65" s="203"/>
      <c r="AW65" s="204"/>
      <c r="AX65" s="204"/>
      <c r="AY65" s="205"/>
      <c r="AZ65" s="203"/>
      <c r="BA65" s="204"/>
      <c r="BB65" s="204"/>
      <c r="BC65" s="205"/>
      <c r="BD65" s="203"/>
      <c r="BE65" s="204"/>
      <c r="BF65" s="204"/>
      <c r="BG65" s="205"/>
      <c r="BH65" s="203"/>
      <c r="BI65" s="204"/>
      <c r="BJ65" s="204"/>
      <c r="BK65" s="205"/>
      <c r="BL65" s="203"/>
      <c r="BM65" s="204"/>
      <c r="BN65" s="204"/>
      <c r="BO65" s="205"/>
      <c r="BP65" s="203"/>
      <c r="BQ65" s="204"/>
      <c r="BR65" s="204"/>
      <c r="BS65" s="205"/>
      <c r="BT65" s="203"/>
      <c r="BU65" s="204"/>
      <c r="BV65" s="204"/>
      <c r="BW65" s="205"/>
      <c r="BX65" s="203"/>
      <c r="BY65" s="204"/>
      <c r="BZ65" s="204"/>
      <c r="CA65" s="205"/>
      <c r="CB65" s="206"/>
      <c r="CC65" s="207"/>
    </row>
    <row r="66" spans="1:81" s="17" customFormat="1" ht="15.75" thickBot="1" x14ac:dyDescent="0.3">
      <c r="A66" s="98">
        <v>2</v>
      </c>
      <c r="B66" s="99" t="s">
        <v>20</v>
      </c>
      <c r="C66" s="100"/>
      <c r="D66" s="100"/>
      <c r="E66" s="100"/>
      <c r="F66" s="145"/>
      <c r="G66" s="145"/>
      <c r="H66" s="100"/>
      <c r="I66" s="100"/>
      <c r="J66" s="100"/>
      <c r="K66" s="101">
        <v>45231</v>
      </c>
      <c r="L66" s="101">
        <v>45260</v>
      </c>
      <c r="M66" s="100"/>
      <c r="N66" s="100"/>
      <c r="O66" s="102"/>
      <c r="P66" s="103"/>
      <c r="Q66" s="104"/>
      <c r="R66" s="104"/>
      <c r="S66" s="105"/>
      <c r="T66" s="103"/>
      <c r="U66" s="104"/>
      <c r="V66" s="104"/>
      <c r="W66" s="105"/>
      <c r="X66" s="103"/>
      <c r="Y66" s="166"/>
      <c r="Z66" s="166"/>
      <c r="AA66" s="167"/>
      <c r="AB66" s="168"/>
      <c r="AC66" s="166"/>
      <c r="AD66" s="166"/>
      <c r="AE66" s="167"/>
      <c r="AF66" s="168"/>
      <c r="AG66" s="166"/>
      <c r="AH66" s="166"/>
      <c r="AI66" s="167"/>
      <c r="AJ66" s="168"/>
      <c r="AK66" s="166"/>
      <c r="AL66" s="166"/>
      <c r="AM66" s="167"/>
      <c r="AN66" s="168"/>
      <c r="AO66" s="166"/>
      <c r="AP66" s="166"/>
      <c r="AQ66" s="167"/>
      <c r="AR66" s="168"/>
      <c r="AS66" s="166"/>
      <c r="AT66" s="166"/>
      <c r="AU66" s="167"/>
      <c r="AV66" s="168"/>
      <c r="AW66" s="166"/>
      <c r="AX66" s="166"/>
      <c r="AY66" s="167"/>
      <c r="AZ66" s="168"/>
      <c r="BA66" s="166"/>
      <c r="BB66" s="166"/>
      <c r="BC66" s="167"/>
      <c r="BD66" s="168"/>
      <c r="BE66" s="166"/>
      <c r="BF66" s="166"/>
      <c r="BG66" s="167"/>
      <c r="BH66" s="168"/>
      <c r="BI66" s="166"/>
      <c r="BJ66" s="166"/>
      <c r="BK66" s="167"/>
      <c r="BL66" s="168"/>
      <c r="BM66" s="166"/>
      <c r="BN66" s="166"/>
      <c r="BO66" s="167"/>
      <c r="BP66" s="168"/>
      <c r="BQ66" s="166"/>
      <c r="BR66" s="166"/>
      <c r="BS66" s="167"/>
      <c r="BT66" s="168"/>
      <c r="BU66" s="166"/>
      <c r="BV66" s="166"/>
      <c r="BW66" s="167"/>
      <c r="BX66" s="168"/>
      <c r="BY66" s="166"/>
      <c r="BZ66" s="166"/>
      <c r="CA66" s="167"/>
      <c r="CB66" s="106"/>
      <c r="CC66" s="107"/>
    </row>
    <row r="67" spans="1:81" s="17" customFormat="1" ht="15" customHeight="1" x14ac:dyDescent="0.25">
      <c r="A67" s="286" t="s">
        <v>13</v>
      </c>
      <c r="B67" s="288" t="s">
        <v>36</v>
      </c>
      <c r="C67" s="298" t="s">
        <v>25</v>
      </c>
      <c r="D67" s="278" t="s">
        <v>119</v>
      </c>
      <c r="E67" s="278">
        <v>1</v>
      </c>
      <c r="F67" s="280">
        <f>G67</f>
        <v>704.14433999999994</v>
      </c>
      <c r="G67" s="280">
        <f>(456786+247358.34)/1000</f>
        <v>704.14433999999994</v>
      </c>
      <c r="H67" s="282">
        <f>G67/G76</f>
        <v>2.437666813622833E-3</v>
      </c>
      <c r="I67" s="284">
        <v>0</v>
      </c>
      <c r="J67" s="301">
        <f t="shared" ref="J67" si="17">I67*H67</f>
        <v>0</v>
      </c>
      <c r="K67" s="319">
        <v>45231</v>
      </c>
      <c r="L67" s="319">
        <v>45260</v>
      </c>
      <c r="M67" s="347"/>
      <c r="N67" s="347"/>
      <c r="O67" s="52" t="s">
        <v>26</v>
      </c>
      <c r="P67" s="74"/>
      <c r="Q67" s="75"/>
      <c r="R67" s="75"/>
      <c r="S67" s="76"/>
      <c r="T67" s="74"/>
      <c r="U67" s="75"/>
      <c r="V67" s="75"/>
      <c r="W67" s="76"/>
      <c r="X67" s="74"/>
      <c r="Y67" s="150"/>
      <c r="Z67" s="150"/>
      <c r="AA67" s="151"/>
      <c r="AB67" s="149"/>
      <c r="AC67" s="150"/>
      <c r="AD67" s="150"/>
      <c r="AE67" s="151"/>
      <c r="AF67" s="149"/>
      <c r="AG67" s="150"/>
      <c r="AH67" s="150"/>
      <c r="AI67" s="151"/>
      <c r="AJ67" s="149"/>
      <c r="AK67" s="150"/>
      <c r="AL67" s="150"/>
      <c r="AM67" s="151"/>
      <c r="AN67" s="149"/>
      <c r="AO67" s="150"/>
      <c r="AP67" s="150"/>
      <c r="AQ67" s="151"/>
      <c r="AR67" s="149"/>
      <c r="AS67" s="150"/>
      <c r="AT67" s="150"/>
      <c r="AU67" s="151"/>
      <c r="AV67" s="149"/>
      <c r="AW67" s="150"/>
      <c r="AX67" s="150"/>
      <c r="AY67" s="151"/>
      <c r="AZ67" s="149"/>
      <c r="BA67" s="150"/>
      <c r="BB67" s="150"/>
      <c r="BC67" s="151"/>
      <c r="BD67" s="149"/>
      <c r="BE67" s="150"/>
      <c r="BF67" s="150"/>
      <c r="BG67" s="151"/>
      <c r="BH67" s="149"/>
      <c r="BI67" s="150"/>
      <c r="BJ67" s="150"/>
      <c r="BK67" s="151"/>
      <c r="BL67" s="149"/>
      <c r="BM67" s="150"/>
      <c r="BN67" s="150"/>
      <c r="BO67" s="151"/>
      <c r="BP67" s="149"/>
      <c r="BQ67" s="150"/>
      <c r="BR67" s="150"/>
      <c r="BS67" s="151"/>
      <c r="BT67" s="146">
        <v>4</v>
      </c>
      <c r="BU67" s="147">
        <v>4</v>
      </c>
      <c r="BV67" s="147">
        <v>4</v>
      </c>
      <c r="BW67" s="148">
        <v>4</v>
      </c>
      <c r="BX67" s="149"/>
      <c r="BY67" s="150"/>
      <c r="BZ67" s="150"/>
      <c r="CA67" s="151"/>
      <c r="CB67" s="77"/>
      <c r="CC67" s="108"/>
    </row>
    <row r="68" spans="1:81" s="17" customFormat="1" ht="15.75" thickBot="1" x14ac:dyDescent="0.3">
      <c r="A68" s="287"/>
      <c r="B68" s="289"/>
      <c r="C68" s="299"/>
      <c r="D68" s="279"/>
      <c r="E68" s="279"/>
      <c r="F68" s="281"/>
      <c r="G68" s="281"/>
      <c r="H68" s="283"/>
      <c r="I68" s="285"/>
      <c r="J68" s="302"/>
      <c r="K68" s="346"/>
      <c r="L68" s="320"/>
      <c r="M68" s="348"/>
      <c r="N68" s="348"/>
      <c r="O68" s="53" t="s">
        <v>27</v>
      </c>
      <c r="P68" s="79"/>
      <c r="Q68" s="80"/>
      <c r="R68" s="80"/>
      <c r="S68" s="81"/>
      <c r="T68" s="79"/>
      <c r="U68" s="80"/>
      <c r="V68" s="80"/>
      <c r="W68" s="81"/>
      <c r="X68" s="79"/>
      <c r="Y68" s="153"/>
      <c r="Z68" s="153"/>
      <c r="AA68" s="154"/>
      <c r="AB68" s="152"/>
      <c r="AC68" s="153"/>
      <c r="AD68" s="153"/>
      <c r="AE68" s="154"/>
      <c r="AF68" s="152"/>
      <c r="AG68" s="153"/>
      <c r="AH68" s="153"/>
      <c r="AI68" s="154"/>
      <c r="AJ68" s="152"/>
      <c r="AK68" s="153"/>
      <c r="AL68" s="153"/>
      <c r="AM68" s="154"/>
      <c r="AN68" s="152"/>
      <c r="AO68" s="153"/>
      <c r="AP68" s="153"/>
      <c r="AQ68" s="154"/>
      <c r="AR68" s="152"/>
      <c r="AS68" s="153"/>
      <c r="AT68" s="153"/>
      <c r="AU68" s="154"/>
      <c r="AV68" s="152"/>
      <c r="AW68" s="153"/>
      <c r="AX68" s="153"/>
      <c r="AY68" s="154"/>
      <c r="AZ68" s="152"/>
      <c r="BA68" s="153"/>
      <c r="BB68" s="153"/>
      <c r="BC68" s="154"/>
      <c r="BD68" s="152"/>
      <c r="BE68" s="153"/>
      <c r="BF68" s="153"/>
      <c r="BG68" s="154"/>
      <c r="BH68" s="152"/>
      <c r="BI68" s="153"/>
      <c r="BJ68" s="153"/>
      <c r="BK68" s="154"/>
      <c r="BL68" s="152"/>
      <c r="BM68" s="153"/>
      <c r="BN68" s="153"/>
      <c r="BO68" s="154"/>
      <c r="BP68" s="152"/>
      <c r="BQ68" s="153"/>
      <c r="BR68" s="153"/>
      <c r="BS68" s="154"/>
      <c r="BT68" s="152"/>
      <c r="BU68" s="153"/>
      <c r="BV68" s="153"/>
      <c r="BW68" s="154"/>
      <c r="BX68" s="152"/>
      <c r="BY68" s="153"/>
      <c r="BZ68" s="153"/>
      <c r="CA68" s="154"/>
      <c r="CB68" s="82"/>
      <c r="CC68" s="109"/>
    </row>
    <row r="69" spans="1:81" s="17" customFormat="1" x14ac:dyDescent="0.25">
      <c r="A69" s="300" t="s">
        <v>92</v>
      </c>
      <c r="B69" s="288" t="s">
        <v>18</v>
      </c>
      <c r="C69" s="298" t="s">
        <v>25</v>
      </c>
      <c r="D69" s="212"/>
      <c r="E69" s="212"/>
      <c r="F69" s="278"/>
      <c r="G69" s="278"/>
      <c r="H69" s="212"/>
      <c r="I69" s="212"/>
      <c r="J69" s="212"/>
      <c r="K69" s="319">
        <v>45245</v>
      </c>
      <c r="L69" s="319">
        <v>45260</v>
      </c>
      <c r="M69" s="347"/>
      <c r="N69" s="347"/>
      <c r="O69" s="66" t="s">
        <v>26</v>
      </c>
      <c r="P69" s="74"/>
      <c r="Q69" s="75"/>
      <c r="R69" s="75"/>
      <c r="S69" s="76"/>
      <c r="T69" s="74"/>
      <c r="U69" s="75"/>
      <c r="V69" s="75"/>
      <c r="W69" s="76"/>
      <c r="X69" s="74"/>
      <c r="Y69" s="150"/>
      <c r="Z69" s="150"/>
      <c r="AA69" s="151"/>
      <c r="AB69" s="149"/>
      <c r="AC69" s="150"/>
      <c r="AD69" s="150"/>
      <c r="AE69" s="151"/>
      <c r="AF69" s="149"/>
      <c r="AG69" s="150"/>
      <c r="AH69" s="150"/>
      <c r="AI69" s="151"/>
      <c r="AJ69" s="149"/>
      <c r="AK69" s="150"/>
      <c r="AL69" s="150"/>
      <c r="AM69" s="151"/>
      <c r="AN69" s="149"/>
      <c r="AO69" s="150"/>
      <c r="AP69" s="150"/>
      <c r="AQ69" s="151"/>
      <c r="AR69" s="149"/>
      <c r="AS69" s="150"/>
      <c r="AT69" s="150"/>
      <c r="AU69" s="151"/>
      <c r="AV69" s="149"/>
      <c r="AW69" s="150"/>
      <c r="AX69" s="150"/>
      <c r="AY69" s="151"/>
      <c r="AZ69" s="149"/>
      <c r="BA69" s="150"/>
      <c r="BB69" s="150"/>
      <c r="BC69" s="151"/>
      <c r="BD69" s="149"/>
      <c r="BE69" s="150"/>
      <c r="BF69" s="150"/>
      <c r="BG69" s="151"/>
      <c r="BH69" s="149"/>
      <c r="BI69" s="150"/>
      <c r="BJ69" s="150"/>
      <c r="BK69" s="151"/>
      <c r="BL69" s="149"/>
      <c r="BM69" s="150"/>
      <c r="BN69" s="150"/>
      <c r="BO69" s="151"/>
      <c r="BP69" s="149"/>
      <c r="BQ69" s="150"/>
      <c r="BR69" s="150"/>
      <c r="BS69" s="151"/>
      <c r="BT69" s="149"/>
      <c r="BU69" s="150"/>
      <c r="BV69" s="147">
        <v>10</v>
      </c>
      <c r="BW69" s="148">
        <v>10</v>
      </c>
      <c r="BX69" s="150"/>
      <c r="BY69" s="150"/>
      <c r="BZ69" s="150"/>
      <c r="CA69" s="151"/>
      <c r="CB69" s="86"/>
      <c r="CC69" s="110"/>
    </row>
    <row r="70" spans="1:81" s="67" customFormat="1" ht="15.75" thickBot="1" x14ac:dyDescent="0.3">
      <c r="A70" s="287"/>
      <c r="B70" s="289"/>
      <c r="C70" s="299"/>
      <c r="D70" s="213"/>
      <c r="E70" s="213"/>
      <c r="F70" s="279"/>
      <c r="G70" s="279"/>
      <c r="H70" s="213"/>
      <c r="I70" s="213"/>
      <c r="J70" s="213"/>
      <c r="K70" s="346"/>
      <c r="L70" s="320"/>
      <c r="M70" s="348"/>
      <c r="N70" s="348"/>
      <c r="O70" s="53" t="s">
        <v>27</v>
      </c>
      <c r="P70" s="79"/>
      <c r="Q70" s="80"/>
      <c r="R70" s="80"/>
      <c r="S70" s="81"/>
      <c r="T70" s="79"/>
      <c r="U70" s="80"/>
      <c r="V70" s="80"/>
      <c r="W70" s="81"/>
      <c r="X70" s="79"/>
      <c r="Y70" s="153"/>
      <c r="Z70" s="153"/>
      <c r="AA70" s="154"/>
      <c r="AB70" s="152"/>
      <c r="AC70" s="153"/>
      <c r="AD70" s="153"/>
      <c r="AE70" s="154"/>
      <c r="AF70" s="152"/>
      <c r="AG70" s="153"/>
      <c r="AH70" s="153"/>
      <c r="AI70" s="154"/>
      <c r="AJ70" s="152"/>
      <c r="AK70" s="153"/>
      <c r="AL70" s="153"/>
      <c r="AM70" s="154"/>
      <c r="AN70" s="152"/>
      <c r="AO70" s="153"/>
      <c r="AP70" s="153"/>
      <c r="AQ70" s="154"/>
      <c r="AR70" s="152"/>
      <c r="AS70" s="153"/>
      <c r="AT70" s="153"/>
      <c r="AU70" s="154"/>
      <c r="AV70" s="152"/>
      <c r="AW70" s="153"/>
      <c r="AX70" s="153"/>
      <c r="AY70" s="154"/>
      <c r="AZ70" s="152"/>
      <c r="BA70" s="153"/>
      <c r="BB70" s="153"/>
      <c r="BC70" s="154"/>
      <c r="BD70" s="152"/>
      <c r="BE70" s="153"/>
      <c r="BF70" s="153"/>
      <c r="BG70" s="154"/>
      <c r="BH70" s="152"/>
      <c r="BI70" s="153"/>
      <c r="BJ70" s="153"/>
      <c r="BK70" s="154"/>
      <c r="BL70" s="152"/>
      <c r="BM70" s="153"/>
      <c r="BN70" s="153"/>
      <c r="BO70" s="154"/>
      <c r="BP70" s="152"/>
      <c r="BQ70" s="153"/>
      <c r="BR70" s="153"/>
      <c r="BS70" s="154"/>
      <c r="BT70" s="152"/>
      <c r="BU70" s="153"/>
      <c r="BV70" s="153"/>
      <c r="BW70" s="154"/>
      <c r="BX70" s="152"/>
      <c r="BY70" s="153"/>
      <c r="BZ70" s="153"/>
      <c r="CA70" s="154"/>
      <c r="CB70" s="82"/>
      <c r="CC70" s="109"/>
    </row>
    <row r="71" spans="1:81" s="67" customFormat="1" ht="15.75" thickBot="1" x14ac:dyDescent="0.3">
      <c r="A71" s="295"/>
      <c r="B71" s="293" t="s">
        <v>122</v>
      </c>
      <c r="C71" s="298"/>
      <c r="D71" s="212"/>
      <c r="E71" s="212"/>
      <c r="F71" s="278"/>
      <c r="G71" s="278"/>
      <c r="H71" s="212"/>
      <c r="I71" s="284"/>
      <c r="J71" s="212"/>
      <c r="K71" s="290">
        <v>45184</v>
      </c>
      <c r="L71" s="290">
        <v>45199</v>
      </c>
      <c r="M71" s="293"/>
      <c r="N71" s="293"/>
      <c r="O71" s="66" t="s">
        <v>26</v>
      </c>
      <c r="P71" s="74"/>
      <c r="Q71" s="75"/>
      <c r="R71" s="75"/>
      <c r="S71" s="76"/>
      <c r="T71" s="74"/>
      <c r="U71" s="75"/>
      <c r="V71" s="75"/>
      <c r="W71" s="76"/>
      <c r="X71" s="74"/>
      <c r="Y71" s="150"/>
      <c r="Z71" s="150"/>
      <c r="AA71" s="151"/>
      <c r="AB71" s="149"/>
      <c r="AC71" s="150"/>
      <c r="AD71" s="150"/>
      <c r="AE71" s="151"/>
      <c r="AF71" s="149"/>
      <c r="AG71" s="150"/>
      <c r="AH71" s="150"/>
      <c r="AI71" s="151"/>
      <c r="AJ71" s="149"/>
      <c r="AK71" s="150"/>
      <c r="AL71" s="150"/>
      <c r="AM71" s="151"/>
      <c r="AN71" s="149"/>
      <c r="AO71" s="150"/>
      <c r="AP71" s="150"/>
      <c r="AQ71" s="151"/>
      <c r="AR71" s="149"/>
      <c r="AS71" s="150"/>
      <c r="AT71" s="150"/>
      <c r="AU71" s="151"/>
      <c r="AV71" s="149"/>
      <c r="AW71" s="150"/>
      <c r="AX71" s="150"/>
      <c r="AY71" s="151"/>
      <c r="AZ71" s="149"/>
      <c r="BA71" s="150"/>
      <c r="BB71" s="150"/>
      <c r="BC71" s="151"/>
      <c r="BD71" s="149"/>
      <c r="BE71" s="150"/>
      <c r="BF71" s="150"/>
      <c r="BG71" s="151"/>
      <c r="BH71" s="149"/>
      <c r="BI71" s="150"/>
      <c r="BJ71" s="150"/>
      <c r="BK71" s="151"/>
      <c r="BL71" s="149"/>
      <c r="BM71" s="150"/>
      <c r="BN71" s="150"/>
      <c r="BO71" s="151"/>
      <c r="BP71" s="149"/>
      <c r="BQ71" s="150"/>
      <c r="BR71" s="150"/>
      <c r="BS71" s="151"/>
      <c r="BT71" s="149"/>
      <c r="BU71" s="150"/>
      <c r="BV71" s="150"/>
      <c r="BW71" s="151"/>
      <c r="BX71" s="150"/>
      <c r="BY71" s="150"/>
      <c r="BZ71" s="150"/>
      <c r="CA71" s="151"/>
      <c r="CB71" s="88"/>
      <c r="CC71" s="183"/>
    </row>
    <row r="72" spans="1:81" s="67" customFormat="1" ht="15.75" thickBot="1" x14ac:dyDescent="0.3">
      <c r="A72" s="296"/>
      <c r="B72" s="297" t="s">
        <v>123</v>
      </c>
      <c r="C72" s="299"/>
      <c r="D72" s="213"/>
      <c r="E72" s="213"/>
      <c r="F72" s="279"/>
      <c r="G72" s="279"/>
      <c r="H72" s="213"/>
      <c r="I72" s="285"/>
      <c r="J72" s="213"/>
      <c r="K72" s="291"/>
      <c r="L72" s="292"/>
      <c r="M72" s="294"/>
      <c r="N72" s="294"/>
      <c r="O72" s="53" t="s">
        <v>27</v>
      </c>
      <c r="P72" s="79"/>
      <c r="Q72" s="80"/>
      <c r="R72" s="80"/>
      <c r="S72" s="81"/>
      <c r="T72" s="79"/>
      <c r="U72" s="80"/>
      <c r="V72" s="80"/>
      <c r="W72" s="81"/>
      <c r="X72" s="79"/>
      <c r="Y72" s="153"/>
      <c r="Z72" s="153"/>
      <c r="AA72" s="154"/>
      <c r="AB72" s="152"/>
      <c r="AC72" s="153"/>
      <c r="AD72" s="153"/>
      <c r="AE72" s="154"/>
      <c r="AF72" s="152"/>
      <c r="AG72" s="153"/>
      <c r="AH72" s="153"/>
      <c r="AI72" s="154"/>
      <c r="AJ72" s="152"/>
      <c r="AK72" s="153"/>
      <c r="AL72" s="153"/>
      <c r="AM72" s="154"/>
      <c r="AN72" s="152"/>
      <c r="AO72" s="153"/>
      <c r="AP72" s="153"/>
      <c r="AQ72" s="154"/>
      <c r="AR72" s="152"/>
      <c r="AS72" s="153"/>
      <c r="AT72" s="153"/>
      <c r="AU72" s="154"/>
      <c r="AV72" s="152"/>
      <c r="AW72" s="153"/>
      <c r="AX72" s="153"/>
      <c r="AY72" s="154"/>
      <c r="AZ72" s="152"/>
      <c r="BA72" s="153"/>
      <c r="BB72" s="153"/>
      <c r="BC72" s="154"/>
      <c r="BD72" s="152"/>
      <c r="BE72" s="153"/>
      <c r="BF72" s="153"/>
      <c r="BG72" s="154"/>
      <c r="BH72" s="152"/>
      <c r="BI72" s="153"/>
      <c r="BJ72" s="153"/>
      <c r="BK72" s="154"/>
      <c r="BL72" s="152"/>
      <c r="BM72" s="153"/>
      <c r="BN72" s="153"/>
      <c r="BO72" s="154"/>
      <c r="BP72" s="152"/>
      <c r="BQ72" s="153"/>
      <c r="BR72" s="153"/>
      <c r="BS72" s="154"/>
      <c r="BT72" s="152"/>
      <c r="BU72" s="153"/>
      <c r="BV72" s="153"/>
      <c r="BW72" s="154"/>
      <c r="BX72" s="152"/>
      <c r="BY72" s="153"/>
      <c r="BZ72" s="153"/>
      <c r="CA72" s="154"/>
      <c r="CB72" s="88"/>
      <c r="CC72" s="183"/>
    </row>
    <row r="73" spans="1:81" s="67" customFormat="1" ht="15.75" thickBot="1" x14ac:dyDescent="0.3">
      <c r="A73" s="295"/>
      <c r="B73" s="293" t="s">
        <v>123</v>
      </c>
      <c r="C73" s="298"/>
      <c r="D73" s="212"/>
      <c r="E73" s="212"/>
      <c r="F73" s="278"/>
      <c r="G73" s="278"/>
      <c r="H73" s="212"/>
      <c r="I73" s="284"/>
      <c r="J73" s="212"/>
      <c r="K73" s="290">
        <v>45184</v>
      </c>
      <c r="L73" s="290">
        <v>45199</v>
      </c>
      <c r="M73" s="293"/>
      <c r="N73" s="293"/>
      <c r="O73" s="66" t="s">
        <v>26</v>
      </c>
      <c r="P73" s="74"/>
      <c r="Q73" s="75"/>
      <c r="R73" s="75"/>
      <c r="S73" s="76"/>
      <c r="T73" s="74"/>
      <c r="U73" s="75"/>
      <c r="V73" s="75"/>
      <c r="W73" s="76"/>
      <c r="X73" s="74"/>
      <c r="Y73" s="150"/>
      <c r="Z73" s="150"/>
      <c r="AA73" s="151"/>
      <c r="AB73" s="149"/>
      <c r="AC73" s="150"/>
      <c r="AD73" s="150"/>
      <c r="AE73" s="151"/>
      <c r="AF73" s="149"/>
      <c r="AG73" s="150"/>
      <c r="AH73" s="150"/>
      <c r="AI73" s="151"/>
      <c r="AJ73" s="149"/>
      <c r="AK73" s="150"/>
      <c r="AL73" s="150"/>
      <c r="AM73" s="151"/>
      <c r="AN73" s="149"/>
      <c r="AO73" s="150"/>
      <c r="AP73" s="150"/>
      <c r="AQ73" s="151"/>
      <c r="AR73" s="149"/>
      <c r="AS73" s="150"/>
      <c r="AT73" s="150"/>
      <c r="AU73" s="151"/>
      <c r="AV73" s="149"/>
      <c r="AW73" s="150"/>
      <c r="AX73" s="150"/>
      <c r="AY73" s="151"/>
      <c r="AZ73" s="149"/>
      <c r="BA73" s="150"/>
      <c r="BB73" s="150"/>
      <c r="BC73" s="151"/>
      <c r="BD73" s="149"/>
      <c r="BE73" s="150"/>
      <c r="BF73" s="150"/>
      <c r="BG73" s="151"/>
      <c r="BH73" s="149"/>
      <c r="BI73" s="150"/>
      <c r="BJ73" s="150"/>
      <c r="BK73" s="151"/>
      <c r="BL73" s="149"/>
      <c r="BM73" s="150"/>
      <c r="BN73" s="150"/>
      <c r="BO73" s="151"/>
      <c r="BP73" s="149"/>
      <c r="BQ73" s="150"/>
      <c r="BR73" s="150"/>
      <c r="BS73" s="151"/>
      <c r="BT73" s="149"/>
      <c r="BU73" s="150"/>
      <c r="BV73" s="150"/>
      <c r="BW73" s="151"/>
      <c r="BX73" s="150"/>
      <c r="BY73" s="150"/>
      <c r="BZ73" s="150"/>
      <c r="CA73" s="151"/>
      <c r="CB73" s="88"/>
      <c r="CC73" s="183"/>
    </row>
    <row r="74" spans="1:81" s="67" customFormat="1" ht="15.75" thickBot="1" x14ac:dyDescent="0.3">
      <c r="A74" s="296"/>
      <c r="B74" s="297" t="s">
        <v>123</v>
      </c>
      <c r="C74" s="299"/>
      <c r="D74" s="213"/>
      <c r="E74" s="213"/>
      <c r="F74" s="279"/>
      <c r="G74" s="279"/>
      <c r="H74" s="213"/>
      <c r="I74" s="285"/>
      <c r="J74" s="213"/>
      <c r="K74" s="291"/>
      <c r="L74" s="292"/>
      <c r="M74" s="294"/>
      <c r="N74" s="294"/>
      <c r="O74" s="53" t="s">
        <v>27</v>
      </c>
      <c r="P74" s="79"/>
      <c r="Q74" s="80"/>
      <c r="R74" s="80"/>
      <c r="S74" s="81"/>
      <c r="T74" s="79"/>
      <c r="U74" s="80"/>
      <c r="V74" s="80"/>
      <c r="W74" s="81"/>
      <c r="X74" s="79"/>
      <c r="Y74" s="153"/>
      <c r="Z74" s="153"/>
      <c r="AA74" s="154"/>
      <c r="AB74" s="152"/>
      <c r="AC74" s="153"/>
      <c r="AD74" s="153"/>
      <c r="AE74" s="154"/>
      <c r="AF74" s="152"/>
      <c r="AG74" s="153"/>
      <c r="AH74" s="153"/>
      <c r="AI74" s="154"/>
      <c r="AJ74" s="152"/>
      <c r="AK74" s="153"/>
      <c r="AL74" s="153"/>
      <c r="AM74" s="154"/>
      <c r="AN74" s="152"/>
      <c r="AO74" s="153"/>
      <c r="AP74" s="153"/>
      <c r="AQ74" s="154"/>
      <c r="AR74" s="152"/>
      <c r="AS74" s="153"/>
      <c r="AT74" s="153"/>
      <c r="AU74" s="154"/>
      <c r="AV74" s="152"/>
      <c r="AW74" s="153"/>
      <c r="AX74" s="153"/>
      <c r="AY74" s="154"/>
      <c r="AZ74" s="152"/>
      <c r="BA74" s="153"/>
      <c r="BB74" s="153"/>
      <c r="BC74" s="154"/>
      <c r="BD74" s="152"/>
      <c r="BE74" s="153"/>
      <c r="BF74" s="153"/>
      <c r="BG74" s="154"/>
      <c r="BH74" s="152"/>
      <c r="BI74" s="153"/>
      <c r="BJ74" s="153"/>
      <c r="BK74" s="154"/>
      <c r="BL74" s="152"/>
      <c r="BM74" s="153"/>
      <c r="BN74" s="153"/>
      <c r="BO74" s="154"/>
      <c r="BP74" s="152"/>
      <c r="BQ74" s="153"/>
      <c r="BR74" s="153"/>
      <c r="BS74" s="154"/>
      <c r="BT74" s="152"/>
      <c r="BU74" s="153"/>
      <c r="BV74" s="153"/>
      <c r="BW74" s="154"/>
      <c r="BX74" s="152"/>
      <c r="BY74" s="153"/>
      <c r="BZ74" s="153"/>
      <c r="CA74" s="154"/>
      <c r="CB74" s="88"/>
      <c r="CC74" s="183"/>
    </row>
    <row r="75" spans="1:81" s="67" customFormat="1" ht="15.75" thickBot="1" x14ac:dyDescent="0.3">
      <c r="A75" s="184"/>
      <c r="B75" s="185" t="s">
        <v>124</v>
      </c>
      <c r="C75" s="186"/>
      <c r="D75" s="186"/>
      <c r="E75" s="187"/>
      <c r="F75" s="188"/>
      <c r="G75" s="189">
        <f>(G67+SUM(G58:G65,G47:G56,G14:G45))*2%</f>
        <v>5663.9207981776808</v>
      </c>
      <c r="H75" s="190"/>
      <c r="I75" s="190"/>
      <c r="J75" s="190"/>
      <c r="K75" s="190"/>
      <c r="L75" s="190"/>
      <c r="M75" s="190"/>
      <c r="N75" s="190"/>
      <c r="O75" s="175"/>
      <c r="P75" s="176"/>
      <c r="Q75" s="177"/>
      <c r="R75" s="177"/>
      <c r="S75" s="178"/>
      <c r="T75" s="176"/>
      <c r="U75" s="177"/>
      <c r="V75" s="177"/>
      <c r="W75" s="178"/>
      <c r="X75" s="176"/>
      <c r="Y75" s="179"/>
      <c r="Z75" s="179"/>
      <c r="AA75" s="180"/>
      <c r="AB75" s="181"/>
      <c r="AC75" s="179"/>
      <c r="AD75" s="179"/>
      <c r="AE75" s="180"/>
      <c r="AF75" s="181"/>
      <c r="AG75" s="179"/>
      <c r="AH75" s="179"/>
      <c r="AI75" s="180"/>
      <c r="AJ75" s="181"/>
      <c r="AK75" s="179"/>
      <c r="AL75" s="179"/>
      <c r="AM75" s="180"/>
      <c r="AN75" s="181"/>
      <c r="AO75" s="179"/>
      <c r="AP75" s="179"/>
      <c r="AQ75" s="180"/>
      <c r="AR75" s="181"/>
      <c r="AS75" s="179"/>
      <c r="AT75" s="179"/>
      <c r="AU75" s="180"/>
      <c r="AV75" s="181"/>
      <c r="AW75" s="179"/>
      <c r="AX75" s="179"/>
      <c r="AY75" s="180"/>
      <c r="AZ75" s="181"/>
      <c r="BA75" s="179"/>
      <c r="BB75" s="179"/>
      <c r="BC75" s="180"/>
      <c r="BD75" s="181"/>
      <c r="BE75" s="179"/>
      <c r="BF75" s="179"/>
      <c r="BG75" s="180"/>
      <c r="BH75" s="181"/>
      <c r="BI75" s="179"/>
      <c r="BJ75" s="179"/>
      <c r="BK75" s="180"/>
      <c r="BL75" s="181"/>
      <c r="BM75" s="179"/>
      <c r="BN75" s="179"/>
      <c r="BO75" s="180"/>
      <c r="BP75" s="182"/>
      <c r="BQ75" s="179"/>
      <c r="BR75" s="179"/>
      <c r="BS75" s="180"/>
      <c r="BT75" s="182"/>
      <c r="BU75" s="179"/>
      <c r="BV75" s="179"/>
      <c r="BW75" s="180"/>
      <c r="BX75" s="182"/>
      <c r="BY75" s="179"/>
      <c r="BZ75" s="179"/>
      <c r="CA75" s="180"/>
      <c r="CB75" s="88"/>
      <c r="CC75" s="183"/>
    </row>
    <row r="76" spans="1:81" s="67" customFormat="1" ht="15.75" thickBot="1" x14ac:dyDescent="0.3">
      <c r="A76" s="191"/>
      <c r="B76" s="192" t="s">
        <v>125</v>
      </c>
      <c r="C76" s="213"/>
      <c r="D76" s="213"/>
      <c r="E76" s="187"/>
      <c r="F76" s="209"/>
      <c r="G76" s="189">
        <f>G75+SUM(G14:G74)</f>
        <v>288859.96070706175</v>
      </c>
      <c r="H76" s="193">
        <f>SUM(H6:H75)</f>
        <v>8.9803921568627416</v>
      </c>
      <c r="I76" s="193"/>
      <c r="J76" s="194"/>
      <c r="K76" s="194"/>
      <c r="L76" s="194"/>
      <c r="M76" s="194"/>
      <c r="N76" s="194"/>
      <c r="O76" s="175"/>
      <c r="P76" s="176"/>
      <c r="Q76" s="177"/>
      <c r="R76" s="177"/>
      <c r="S76" s="178"/>
      <c r="T76" s="176"/>
      <c r="U76" s="177"/>
      <c r="V76" s="177"/>
      <c r="W76" s="178"/>
      <c r="X76" s="176"/>
      <c r="Y76" s="179"/>
      <c r="Z76" s="179"/>
      <c r="AA76" s="180"/>
      <c r="AB76" s="181"/>
      <c r="AC76" s="179"/>
      <c r="AD76" s="179"/>
      <c r="AE76" s="180"/>
      <c r="AF76" s="181"/>
      <c r="AG76" s="179"/>
      <c r="AH76" s="179"/>
      <c r="AI76" s="180"/>
      <c r="AJ76" s="181"/>
      <c r="AK76" s="179"/>
      <c r="AL76" s="179"/>
      <c r="AM76" s="180"/>
      <c r="AN76" s="181"/>
      <c r="AO76" s="179"/>
      <c r="AP76" s="179"/>
      <c r="AQ76" s="180"/>
      <c r="AR76" s="181"/>
      <c r="AS76" s="179"/>
      <c r="AT76" s="179"/>
      <c r="AU76" s="180"/>
      <c r="AV76" s="181"/>
      <c r="AW76" s="179"/>
      <c r="AX76" s="179"/>
      <c r="AY76" s="180"/>
      <c r="AZ76" s="181"/>
      <c r="BA76" s="179"/>
      <c r="BB76" s="179"/>
      <c r="BC76" s="180"/>
      <c r="BD76" s="181"/>
      <c r="BE76" s="179"/>
      <c r="BF76" s="179"/>
      <c r="BG76" s="180"/>
      <c r="BH76" s="181"/>
      <c r="BI76" s="179"/>
      <c r="BJ76" s="179"/>
      <c r="BK76" s="180"/>
      <c r="BL76" s="181"/>
      <c r="BM76" s="179"/>
      <c r="BN76" s="179"/>
      <c r="BO76" s="180"/>
      <c r="BP76" s="182"/>
      <c r="BQ76" s="179"/>
      <c r="BR76" s="179"/>
      <c r="BS76" s="180"/>
      <c r="BT76" s="182"/>
      <c r="BU76" s="179"/>
      <c r="BV76" s="179"/>
      <c r="BW76" s="180"/>
      <c r="BX76" s="182"/>
      <c r="BY76" s="179"/>
      <c r="BZ76" s="179"/>
      <c r="CA76" s="180"/>
      <c r="CB76" s="88"/>
      <c r="CC76" s="183"/>
    </row>
    <row r="77" spans="1:81" s="17" customFormat="1" ht="15.75" outlineLevel="1" thickBot="1" x14ac:dyDescent="0.3">
      <c r="A77" s="111">
        <v>3</v>
      </c>
      <c r="B77" s="112" t="s">
        <v>29</v>
      </c>
      <c r="C77" s="113"/>
      <c r="D77" s="113"/>
      <c r="E77" s="113"/>
      <c r="F77" s="113"/>
      <c r="G77" s="114"/>
      <c r="H77" s="113"/>
      <c r="I77" s="113"/>
      <c r="J77" s="113"/>
      <c r="K77" s="113"/>
      <c r="L77" s="115"/>
      <c r="M77" s="113"/>
      <c r="N77" s="116"/>
      <c r="O77" s="117"/>
      <c r="P77" s="118"/>
      <c r="Q77" s="113"/>
      <c r="R77" s="113"/>
      <c r="S77" s="116"/>
      <c r="T77" s="118"/>
      <c r="U77" s="113"/>
      <c r="V77" s="113"/>
      <c r="W77" s="116"/>
      <c r="X77" s="118"/>
      <c r="Y77" s="113"/>
      <c r="Z77" s="113"/>
      <c r="AA77" s="116"/>
      <c r="AB77" s="118"/>
      <c r="AC77" s="113"/>
      <c r="AD77" s="113"/>
      <c r="AE77" s="116"/>
      <c r="AF77" s="118"/>
      <c r="AG77" s="113"/>
      <c r="AH77" s="113"/>
      <c r="AI77" s="116"/>
      <c r="AJ77" s="118"/>
      <c r="AK77" s="113"/>
      <c r="AL77" s="113"/>
      <c r="AM77" s="116"/>
      <c r="AN77" s="118"/>
      <c r="AO77" s="113"/>
      <c r="AP77" s="113"/>
      <c r="AQ77" s="116"/>
      <c r="AR77" s="118"/>
      <c r="AS77" s="113"/>
      <c r="AT77" s="113"/>
      <c r="AU77" s="116"/>
      <c r="AV77" s="118"/>
      <c r="AW77" s="113"/>
      <c r="AX77" s="113"/>
      <c r="AY77" s="116"/>
      <c r="AZ77" s="118"/>
      <c r="BA77" s="113"/>
      <c r="BB77" s="113"/>
      <c r="BC77" s="116"/>
      <c r="BD77" s="118"/>
      <c r="BE77" s="113"/>
      <c r="BF77" s="113"/>
      <c r="BG77" s="116"/>
      <c r="BH77" s="118"/>
      <c r="BI77" s="113"/>
      <c r="BJ77" s="113"/>
      <c r="BK77" s="116"/>
      <c r="BL77" s="118"/>
      <c r="BM77" s="113"/>
      <c r="BN77" s="113"/>
      <c r="BO77" s="116"/>
      <c r="BP77" s="119"/>
      <c r="BQ77" s="113"/>
      <c r="BR77" s="113"/>
      <c r="BS77" s="116"/>
      <c r="BT77" s="119"/>
      <c r="BU77" s="113"/>
      <c r="BV77" s="113"/>
      <c r="BW77" s="116"/>
      <c r="BX77" s="119"/>
      <c r="BY77" s="113"/>
      <c r="BZ77" s="113"/>
      <c r="CA77" s="116"/>
      <c r="CB77" s="120"/>
      <c r="CC77" s="117"/>
    </row>
    <row r="78" spans="1:81" s="17" customFormat="1" outlineLevel="1" x14ac:dyDescent="0.25">
      <c r="A78" s="121" t="s">
        <v>19</v>
      </c>
      <c r="B78" s="42" t="s">
        <v>53</v>
      </c>
      <c r="C78" s="122" t="s">
        <v>25</v>
      </c>
      <c r="D78" s="43" t="s">
        <v>59</v>
      </c>
      <c r="E78" s="123"/>
      <c r="F78" s="123"/>
      <c r="G78" s="124"/>
      <c r="H78" s="123"/>
      <c r="I78" s="123"/>
      <c r="J78" s="123"/>
      <c r="K78" s="123"/>
      <c r="L78" s="122"/>
      <c r="M78" s="123"/>
      <c r="N78" s="125"/>
      <c r="O78" s="44" t="s">
        <v>26</v>
      </c>
      <c r="P78" s="169">
        <f>P69+P67+P62+P60+P58+P55+P53+P51+P49+P47+P44+P42+P40+P38+P36+P34+P32+P30+P28+P26+P24+P22+P20+P18+P16+P14</f>
        <v>0</v>
      </c>
      <c r="Q78" s="170">
        <f t="shared" ref="Q78:CA79" si="18">Q69+Q67+Q62+Q60+Q58+Q55+Q53+Q51+Q49+Q47+Q44+Q42+Q40+Q38+Q36+Q34+Q32+Q30+Q28+Q26+Q24+Q22+Q20+Q18+Q16+Q14</f>
        <v>0</v>
      </c>
      <c r="R78" s="170">
        <f t="shared" si="18"/>
        <v>5</v>
      </c>
      <c r="S78" s="171">
        <f t="shared" si="18"/>
        <v>5</v>
      </c>
      <c r="T78" s="169">
        <f t="shared" si="18"/>
        <v>5</v>
      </c>
      <c r="U78" s="170">
        <f t="shared" si="18"/>
        <v>5</v>
      </c>
      <c r="V78" s="170">
        <f t="shared" si="18"/>
        <v>5</v>
      </c>
      <c r="W78" s="171">
        <f t="shared" si="18"/>
        <v>7</v>
      </c>
      <c r="X78" s="169">
        <f t="shared" si="18"/>
        <v>7</v>
      </c>
      <c r="Y78" s="170">
        <f t="shared" si="18"/>
        <v>7</v>
      </c>
      <c r="Z78" s="170">
        <f t="shared" si="18"/>
        <v>7</v>
      </c>
      <c r="AA78" s="171">
        <f t="shared" si="18"/>
        <v>5</v>
      </c>
      <c r="AB78" s="169">
        <f t="shared" si="18"/>
        <v>5</v>
      </c>
      <c r="AC78" s="170">
        <f t="shared" si="18"/>
        <v>5</v>
      </c>
      <c r="AD78" s="170">
        <f t="shared" si="18"/>
        <v>5</v>
      </c>
      <c r="AE78" s="171">
        <f t="shared" si="18"/>
        <v>5</v>
      </c>
      <c r="AF78" s="169">
        <f t="shared" si="18"/>
        <v>6</v>
      </c>
      <c r="AG78" s="170">
        <f t="shared" si="18"/>
        <v>11</v>
      </c>
      <c r="AH78" s="170">
        <f t="shared" si="18"/>
        <v>11</v>
      </c>
      <c r="AI78" s="171">
        <f t="shared" si="18"/>
        <v>11</v>
      </c>
      <c r="AJ78" s="169">
        <f t="shared" si="18"/>
        <v>12</v>
      </c>
      <c r="AK78" s="170">
        <f t="shared" si="18"/>
        <v>12</v>
      </c>
      <c r="AL78" s="170">
        <f t="shared" si="18"/>
        <v>12</v>
      </c>
      <c r="AM78" s="171">
        <f t="shared" si="18"/>
        <v>12</v>
      </c>
      <c r="AN78" s="169">
        <f t="shared" si="18"/>
        <v>15</v>
      </c>
      <c r="AO78" s="170">
        <f t="shared" si="18"/>
        <v>15</v>
      </c>
      <c r="AP78" s="170">
        <f t="shared" si="18"/>
        <v>15</v>
      </c>
      <c r="AQ78" s="171">
        <f t="shared" si="18"/>
        <v>15</v>
      </c>
      <c r="AR78" s="169">
        <f t="shared" si="18"/>
        <v>24</v>
      </c>
      <c r="AS78" s="170">
        <f t="shared" si="18"/>
        <v>24</v>
      </c>
      <c r="AT78" s="170">
        <f t="shared" si="18"/>
        <v>24</v>
      </c>
      <c r="AU78" s="171">
        <f t="shared" si="18"/>
        <v>24</v>
      </c>
      <c r="AV78" s="169">
        <f t="shared" si="18"/>
        <v>58</v>
      </c>
      <c r="AW78" s="170">
        <f t="shared" si="18"/>
        <v>60</v>
      </c>
      <c r="AX78" s="170">
        <f t="shared" si="18"/>
        <v>62</v>
      </c>
      <c r="AY78" s="171">
        <f t="shared" si="18"/>
        <v>64</v>
      </c>
      <c r="AZ78" s="169">
        <f t="shared" si="18"/>
        <v>77</v>
      </c>
      <c r="BA78" s="170">
        <f t="shared" si="18"/>
        <v>79</v>
      </c>
      <c r="BB78" s="170">
        <f t="shared" si="18"/>
        <v>81</v>
      </c>
      <c r="BC78" s="171">
        <f t="shared" si="18"/>
        <v>81</v>
      </c>
      <c r="BD78" s="169">
        <f t="shared" si="18"/>
        <v>89</v>
      </c>
      <c r="BE78" s="170">
        <f t="shared" si="18"/>
        <v>89</v>
      </c>
      <c r="BF78" s="170">
        <f t="shared" si="18"/>
        <v>89</v>
      </c>
      <c r="BG78" s="171">
        <f t="shared" si="18"/>
        <v>89</v>
      </c>
      <c r="BH78" s="169">
        <f t="shared" si="18"/>
        <v>90</v>
      </c>
      <c r="BI78" s="170">
        <f t="shared" si="18"/>
        <v>90</v>
      </c>
      <c r="BJ78" s="170">
        <f t="shared" si="18"/>
        <v>89</v>
      </c>
      <c r="BK78" s="171">
        <f t="shared" si="18"/>
        <v>89</v>
      </c>
      <c r="BL78" s="169">
        <f>BL69+BL67+BL62+BL60+BL58+BL55+BL53+BL51+BL49+BL47+BL44+BL42+BL40+BL38+BL36+BL34+BL32+BL30+BL28+BL26+BL24+BL22+BL20+BL18+BL16+BL14+BL64</f>
        <v>46</v>
      </c>
      <c r="BM78" s="170">
        <f t="shared" ref="BM78:BU79" si="19">BM69+BM67+BM62+BM60+BM58+BM55+BM53+BM51+BM49+BM47+BM44+BM42+BM40+BM38+BM36+BM34+BM32+BM30+BM28+BM26+BM24+BM22+BM20+BM18+BM16+BM14+BM64</f>
        <v>46</v>
      </c>
      <c r="BN78" s="170">
        <f t="shared" si="19"/>
        <v>41</v>
      </c>
      <c r="BO78" s="171">
        <f t="shared" si="19"/>
        <v>41</v>
      </c>
      <c r="BP78" s="169">
        <f t="shared" si="19"/>
        <v>28</v>
      </c>
      <c r="BQ78" s="170">
        <f t="shared" si="19"/>
        <v>28</v>
      </c>
      <c r="BR78" s="170">
        <f t="shared" si="19"/>
        <v>28</v>
      </c>
      <c r="BS78" s="171">
        <f>BS69+BS67+BS62+BS60+BS58+BS55+BS53+BS51+BS49+BS47+BS44+BS42+BS40+BS38+BS36+BS34+BS32+BS30+BS28+BS26+BS24+BS22+BS20+BS18+BS16+BS14+BS64</f>
        <v>28</v>
      </c>
      <c r="BT78" s="169">
        <f t="shared" si="19"/>
        <v>32</v>
      </c>
      <c r="BU78" s="170">
        <f t="shared" si="19"/>
        <v>32</v>
      </c>
      <c r="BV78" s="170">
        <f t="shared" si="18"/>
        <v>14</v>
      </c>
      <c r="BW78" s="171">
        <f t="shared" si="18"/>
        <v>14</v>
      </c>
      <c r="BX78" s="169">
        <f t="shared" si="18"/>
        <v>0</v>
      </c>
      <c r="BY78" s="170">
        <f t="shared" si="18"/>
        <v>0</v>
      </c>
      <c r="BZ78" s="170">
        <f t="shared" si="18"/>
        <v>0</v>
      </c>
      <c r="CA78" s="171">
        <f t="shared" si="18"/>
        <v>0</v>
      </c>
      <c r="CB78" s="374"/>
      <c r="CC78" s="374"/>
    </row>
    <row r="79" spans="1:81" s="17" customFormat="1" ht="15.75" outlineLevel="1" thickBot="1" x14ac:dyDescent="0.3">
      <c r="A79" s="121" t="s">
        <v>38</v>
      </c>
      <c r="B79" s="20" t="s">
        <v>54</v>
      </c>
      <c r="C79" s="122" t="s">
        <v>25</v>
      </c>
      <c r="D79" s="23" t="s">
        <v>59</v>
      </c>
      <c r="E79" s="123"/>
      <c r="F79" s="123"/>
      <c r="G79" s="124"/>
      <c r="H79" s="123"/>
      <c r="I79" s="123"/>
      <c r="J79" s="123"/>
      <c r="K79" s="123"/>
      <c r="L79" s="122"/>
      <c r="M79" s="123"/>
      <c r="N79" s="125"/>
      <c r="O79" s="26" t="s">
        <v>27</v>
      </c>
      <c r="P79" s="172">
        <f>P70+P68+P63+P61+P59+P56+P54+P52+P50+P48+P45+P43+P41+P39+P37+P35+P33+P31+P29+P27+P25+P23+P21+P19+P17+P15</f>
        <v>0</v>
      </c>
      <c r="Q79" s="173">
        <f t="shared" si="18"/>
        <v>0</v>
      </c>
      <c r="R79" s="173">
        <f t="shared" si="18"/>
        <v>5</v>
      </c>
      <c r="S79" s="174">
        <f t="shared" si="18"/>
        <v>5</v>
      </c>
      <c r="T79" s="172">
        <f t="shared" si="18"/>
        <v>5</v>
      </c>
      <c r="U79" s="173">
        <f t="shared" si="18"/>
        <v>5</v>
      </c>
      <c r="V79" s="173">
        <f t="shared" si="18"/>
        <v>0</v>
      </c>
      <c r="W79" s="174">
        <f t="shared" si="18"/>
        <v>0</v>
      </c>
      <c r="X79" s="172">
        <f t="shared" si="18"/>
        <v>0</v>
      </c>
      <c r="Y79" s="173">
        <f t="shared" si="18"/>
        <v>0</v>
      </c>
      <c r="Z79" s="173">
        <f t="shared" si="18"/>
        <v>0</v>
      </c>
      <c r="AA79" s="174">
        <f t="shared" si="18"/>
        <v>0</v>
      </c>
      <c r="AB79" s="172">
        <f t="shared" si="18"/>
        <v>0</v>
      </c>
      <c r="AC79" s="173">
        <f t="shared" si="18"/>
        <v>0</v>
      </c>
      <c r="AD79" s="173">
        <f t="shared" si="18"/>
        <v>0</v>
      </c>
      <c r="AE79" s="174">
        <f t="shared" si="18"/>
        <v>0</v>
      </c>
      <c r="AF79" s="172">
        <f t="shared" si="18"/>
        <v>0</v>
      </c>
      <c r="AG79" s="173">
        <f t="shared" si="18"/>
        <v>0</v>
      </c>
      <c r="AH79" s="173">
        <f t="shared" si="18"/>
        <v>0</v>
      </c>
      <c r="AI79" s="174">
        <f t="shared" si="18"/>
        <v>0</v>
      </c>
      <c r="AJ79" s="172">
        <f t="shared" si="18"/>
        <v>0</v>
      </c>
      <c r="AK79" s="173">
        <f t="shared" si="18"/>
        <v>0</v>
      </c>
      <c r="AL79" s="173">
        <f t="shared" si="18"/>
        <v>0</v>
      </c>
      <c r="AM79" s="174">
        <f t="shared" si="18"/>
        <v>0</v>
      </c>
      <c r="AN79" s="172">
        <f t="shared" si="18"/>
        <v>0</v>
      </c>
      <c r="AO79" s="173">
        <f t="shared" si="18"/>
        <v>0</v>
      </c>
      <c r="AP79" s="173">
        <f t="shared" si="18"/>
        <v>0</v>
      </c>
      <c r="AQ79" s="174">
        <f t="shared" si="18"/>
        <v>0</v>
      </c>
      <c r="AR79" s="172">
        <f t="shared" si="18"/>
        <v>0</v>
      </c>
      <c r="AS79" s="173">
        <f t="shared" si="18"/>
        <v>0</v>
      </c>
      <c r="AT79" s="173">
        <f t="shared" si="18"/>
        <v>0</v>
      </c>
      <c r="AU79" s="174">
        <f t="shared" si="18"/>
        <v>0</v>
      </c>
      <c r="AV79" s="172">
        <f t="shared" si="18"/>
        <v>0</v>
      </c>
      <c r="AW79" s="173">
        <f t="shared" si="18"/>
        <v>0</v>
      </c>
      <c r="AX79" s="173">
        <f t="shared" si="18"/>
        <v>0</v>
      </c>
      <c r="AY79" s="174">
        <f t="shared" si="18"/>
        <v>0</v>
      </c>
      <c r="AZ79" s="172">
        <f t="shared" si="18"/>
        <v>0</v>
      </c>
      <c r="BA79" s="173">
        <f t="shared" si="18"/>
        <v>0</v>
      </c>
      <c r="BB79" s="173">
        <f t="shared" si="18"/>
        <v>0</v>
      </c>
      <c r="BC79" s="174">
        <f t="shared" si="18"/>
        <v>0</v>
      </c>
      <c r="BD79" s="172">
        <f t="shared" si="18"/>
        <v>0</v>
      </c>
      <c r="BE79" s="173">
        <f t="shared" si="18"/>
        <v>0</v>
      </c>
      <c r="BF79" s="173">
        <f t="shared" si="18"/>
        <v>0</v>
      </c>
      <c r="BG79" s="174">
        <f t="shared" si="18"/>
        <v>0</v>
      </c>
      <c r="BH79" s="172">
        <f t="shared" si="18"/>
        <v>0</v>
      </c>
      <c r="BI79" s="173">
        <f t="shared" si="18"/>
        <v>0</v>
      </c>
      <c r="BJ79" s="173">
        <f t="shared" si="18"/>
        <v>0</v>
      </c>
      <c r="BK79" s="174">
        <f t="shared" si="18"/>
        <v>0</v>
      </c>
      <c r="BL79" s="172">
        <f>BL70+BL68+BL63+BL61+BL59+BL56+BL54+BL52+BL50+BL48+BL45+BL43+BL41+BL39+BL37+BL35+BL33+BL31+BL29+BL27+BL25+BL23+BL21+BL19+BL17+BL15+BL65</f>
        <v>0</v>
      </c>
      <c r="BM79" s="173">
        <f t="shared" si="19"/>
        <v>0</v>
      </c>
      <c r="BN79" s="173">
        <f t="shared" si="19"/>
        <v>0</v>
      </c>
      <c r="BO79" s="174">
        <f t="shared" si="19"/>
        <v>0</v>
      </c>
      <c r="BP79" s="172">
        <f t="shared" si="19"/>
        <v>0</v>
      </c>
      <c r="BQ79" s="173">
        <f t="shared" si="19"/>
        <v>0</v>
      </c>
      <c r="BR79" s="173">
        <f t="shared" si="19"/>
        <v>0</v>
      </c>
      <c r="BS79" s="174">
        <f t="shared" si="19"/>
        <v>0</v>
      </c>
      <c r="BT79" s="172">
        <f t="shared" si="19"/>
        <v>0</v>
      </c>
      <c r="BU79" s="173">
        <f t="shared" si="19"/>
        <v>0</v>
      </c>
      <c r="BV79" s="173">
        <f t="shared" si="18"/>
        <v>0</v>
      </c>
      <c r="BW79" s="174">
        <f t="shared" si="18"/>
        <v>0</v>
      </c>
      <c r="BX79" s="172">
        <f t="shared" si="18"/>
        <v>0</v>
      </c>
      <c r="BY79" s="173">
        <f t="shared" si="18"/>
        <v>0</v>
      </c>
      <c r="BZ79" s="173">
        <f t="shared" si="18"/>
        <v>0</v>
      </c>
      <c r="CA79" s="174">
        <f t="shared" si="18"/>
        <v>0</v>
      </c>
      <c r="CB79" s="375"/>
      <c r="CC79" s="375"/>
    </row>
    <row r="80" spans="1:81" s="17" customFormat="1" outlineLevel="1" x14ac:dyDescent="0.25">
      <c r="A80" s="121" t="s">
        <v>93</v>
      </c>
      <c r="B80" s="20" t="s">
        <v>55</v>
      </c>
      <c r="C80" s="122" t="s">
        <v>25</v>
      </c>
      <c r="D80" s="23" t="s">
        <v>59</v>
      </c>
      <c r="E80" s="126"/>
      <c r="F80" s="126"/>
      <c r="G80" s="127"/>
      <c r="H80" s="126"/>
      <c r="I80" s="126"/>
      <c r="J80" s="126"/>
      <c r="K80" s="126"/>
      <c r="L80" s="128"/>
      <c r="M80" s="126"/>
      <c r="N80" s="129"/>
      <c r="O80" s="26" t="s">
        <v>26</v>
      </c>
      <c r="P80" s="312">
        <f>CEILING((P78+Q78+R78+S78)/4,1)</f>
        <v>3</v>
      </c>
      <c r="Q80" s="313"/>
      <c r="R80" s="313"/>
      <c r="S80" s="314"/>
      <c r="T80" s="312">
        <f t="shared" ref="T80:T81" si="20">CEILING((T78+U78+V78+W78)/4,1)</f>
        <v>6</v>
      </c>
      <c r="U80" s="313"/>
      <c r="V80" s="313"/>
      <c r="W80" s="314"/>
      <c r="X80" s="312">
        <f t="shared" ref="X80:X81" si="21">CEILING((X78+Y78+Z78+AA78)/4,1)</f>
        <v>7</v>
      </c>
      <c r="Y80" s="313"/>
      <c r="Z80" s="313"/>
      <c r="AA80" s="314"/>
      <c r="AB80" s="312">
        <f t="shared" ref="AB80:AB81" si="22">CEILING((AB78+AC78+AD78+AE78)/4,1)</f>
        <v>5</v>
      </c>
      <c r="AC80" s="313"/>
      <c r="AD80" s="313"/>
      <c r="AE80" s="314"/>
      <c r="AF80" s="312">
        <f t="shared" ref="AF80:AF81" si="23">CEILING((AF78+AG78+AH78+AI78)/4,1)</f>
        <v>10</v>
      </c>
      <c r="AG80" s="313"/>
      <c r="AH80" s="313"/>
      <c r="AI80" s="314"/>
      <c r="AJ80" s="312">
        <f t="shared" ref="AJ80:AJ81" si="24">CEILING((AJ78+AK78+AL78+AM78)/4,1)</f>
        <v>12</v>
      </c>
      <c r="AK80" s="313"/>
      <c r="AL80" s="313"/>
      <c r="AM80" s="314"/>
      <c r="AN80" s="312">
        <f t="shared" ref="AN80:AN81" si="25">CEILING((AN78+AO78+AP78+AQ78)/4,1)</f>
        <v>15</v>
      </c>
      <c r="AO80" s="313"/>
      <c r="AP80" s="313"/>
      <c r="AQ80" s="314"/>
      <c r="AR80" s="312">
        <f t="shared" ref="AR80:AR81" si="26">CEILING((AR78+AS78+AT78+AU78)/4,1)</f>
        <v>24</v>
      </c>
      <c r="AS80" s="313"/>
      <c r="AT80" s="313"/>
      <c r="AU80" s="314"/>
      <c r="AV80" s="312">
        <f t="shared" ref="AV80:AV81" si="27">CEILING((AV78+AW78+AX78+AY78)/4,1)</f>
        <v>61</v>
      </c>
      <c r="AW80" s="313"/>
      <c r="AX80" s="313"/>
      <c r="AY80" s="314"/>
      <c r="AZ80" s="312">
        <f t="shared" ref="AZ80:AZ81" si="28">CEILING((AZ78+BA78+BB78+BC78)/4,1)</f>
        <v>80</v>
      </c>
      <c r="BA80" s="313"/>
      <c r="BB80" s="313"/>
      <c r="BC80" s="314"/>
      <c r="BD80" s="312">
        <f t="shared" ref="BD80:BD81" si="29">CEILING((BD78+BE78+BF78+BG78)/4,1)</f>
        <v>89</v>
      </c>
      <c r="BE80" s="313"/>
      <c r="BF80" s="313"/>
      <c r="BG80" s="314"/>
      <c r="BH80" s="312">
        <f t="shared" ref="BH80:BH81" si="30">CEILING((BH78+BI78+BJ78+BK78)/4,1)</f>
        <v>90</v>
      </c>
      <c r="BI80" s="313"/>
      <c r="BJ80" s="313"/>
      <c r="BK80" s="314"/>
      <c r="BL80" s="312">
        <f t="shared" ref="BL80:BL81" si="31">CEILING((BL78+BM78+BN78+BO78)/4,1)</f>
        <v>44</v>
      </c>
      <c r="BM80" s="313"/>
      <c r="BN80" s="313"/>
      <c r="BO80" s="314"/>
      <c r="BP80" s="312">
        <f t="shared" ref="BP80:BP81" si="32">CEILING((BP78+BQ78+BR78+BS78)/4,1)</f>
        <v>28</v>
      </c>
      <c r="BQ80" s="313"/>
      <c r="BR80" s="313"/>
      <c r="BS80" s="314"/>
      <c r="BT80" s="312">
        <f t="shared" ref="BT80:BT81" si="33">CEILING((BT78+BU78+BV78+BW78)/4,1)</f>
        <v>23</v>
      </c>
      <c r="BU80" s="313"/>
      <c r="BV80" s="313"/>
      <c r="BW80" s="314"/>
      <c r="BX80" s="312">
        <f t="shared" ref="BX80:BX81" si="34">CEILING((BX78+BY78+BZ78+CA78)/4,1)</f>
        <v>0</v>
      </c>
      <c r="BY80" s="313"/>
      <c r="BZ80" s="313"/>
      <c r="CA80" s="314"/>
      <c r="CB80" s="375"/>
      <c r="CC80" s="375"/>
    </row>
    <row r="81" spans="1:112" ht="15.75" outlineLevel="1" thickBot="1" x14ac:dyDescent="0.3">
      <c r="A81" s="121" t="s">
        <v>94</v>
      </c>
      <c r="B81" s="20" t="s">
        <v>30</v>
      </c>
      <c r="C81" s="122" t="s">
        <v>25</v>
      </c>
      <c r="D81" s="23" t="s">
        <v>59</v>
      </c>
      <c r="E81" s="130"/>
      <c r="F81" s="130"/>
      <c r="G81" s="131"/>
      <c r="H81" s="130"/>
      <c r="I81" s="130"/>
      <c r="J81" s="130"/>
      <c r="K81" s="130"/>
      <c r="L81" s="132"/>
      <c r="M81" s="130"/>
      <c r="N81" s="133"/>
      <c r="O81" s="26" t="s">
        <v>27</v>
      </c>
      <c r="P81" s="349">
        <f>CEILING((P79+Q79+R79+S79)/4,1)</f>
        <v>3</v>
      </c>
      <c r="Q81" s="350"/>
      <c r="R81" s="350"/>
      <c r="S81" s="351"/>
      <c r="T81" s="349">
        <f t="shared" si="20"/>
        <v>3</v>
      </c>
      <c r="U81" s="350"/>
      <c r="V81" s="350"/>
      <c r="W81" s="351"/>
      <c r="X81" s="349">
        <f t="shared" si="21"/>
        <v>0</v>
      </c>
      <c r="Y81" s="350"/>
      <c r="Z81" s="350"/>
      <c r="AA81" s="351"/>
      <c r="AB81" s="349">
        <f t="shared" si="22"/>
        <v>0</v>
      </c>
      <c r="AC81" s="350"/>
      <c r="AD81" s="350"/>
      <c r="AE81" s="351"/>
      <c r="AF81" s="349">
        <f t="shared" si="23"/>
        <v>0</v>
      </c>
      <c r="AG81" s="350"/>
      <c r="AH81" s="350"/>
      <c r="AI81" s="351"/>
      <c r="AJ81" s="349">
        <f t="shared" si="24"/>
        <v>0</v>
      </c>
      <c r="AK81" s="350"/>
      <c r="AL81" s="350"/>
      <c r="AM81" s="351"/>
      <c r="AN81" s="349">
        <f t="shared" si="25"/>
        <v>0</v>
      </c>
      <c r="AO81" s="350"/>
      <c r="AP81" s="350"/>
      <c r="AQ81" s="351"/>
      <c r="AR81" s="349">
        <f t="shared" si="26"/>
        <v>0</v>
      </c>
      <c r="AS81" s="350"/>
      <c r="AT81" s="350"/>
      <c r="AU81" s="351"/>
      <c r="AV81" s="349">
        <f t="shared" si="27"/>
        <v>0</v>
      </c>
      <c r="AW81" s="350"/>
      <c r="AX81" s="350"/>
      <c r="AY81" s="351"/>
      <c r="AZ81" s="349">
        <f t="shared" si="28"/>
        <v>0</v>
      </c>
      <c r="BA81" s="350"/>
      <c r="BB81" s="350"/>
      <c r="BC81" s="351"/>
      <c r="BD81" s="349">
        <f t="shared" si="29"/>
        <v>0</v>
      </c>
      <c r="BE81" s="350"/>
      <c r="BF81" s="350"/>
      <c r="BG81" s="351"/>
      <c r="BH81" s="349">
        <f t="shared" si="30"/>
        <v>0</v>
      </c>
      <c r="BI81" s="350"/>
      <c r="BJ81" s="350"/>
      <c r="BK81" s="351"/>
      <c r="BL81" s="349">
        <f t="shared" si="31"/>
        <v>0</v>
      </c>
      <c r="BM81" s="350"/>
      <c r="BN81" s="350"/>
      <c r="BO81" s="351"/>
      <c r="BP81" s="349">
        <f t="shared" si="32"/>
        <v>0</v>
      </c>
      <c r="BQ81" s="350"/>
      <c r="BR81" s="350"/>
      <c r="BS81" s="351"/>
      <c r="BT81" s="349">
        <f t="shared" si="33"/>
        <v>0</v>
      </c>
      <c r="BU81" s="350"/>
      <c r="BV81" s="350"/>
      <c r="BW81" s="351"/>
      <c r="BX81" s="349">
        <f t="shared" si="34"/>
        <v>0</v>
      </c>
      <c r="BY81" s="350"/>
      <c r="BZ81" s="350"/>
      <c r="CA81" s="351"/>
      <c r="CB81" s="375"/>
      <c r="CC81" s="375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</row>
    <row r="82" spans="1:112" ht="15.75" outlineLevel="1" thickBot="1" x14ac:dyDescent="0.3">
      <c r="A82" s="121" t="s">
        <v>95</v>
      </c>
      <c r="B82" s="20" t="s">
        <v>56</v>
      </c>
      <c r="C82" s="122" t="s">
        <v>25</v>
      </c>
      <c r="D82" s="23" t="s">
        <v>60</v>
      </c>
      <c r="E82" s="130"/>
      <c r="F82" s="130"/>
      <c r="G82" s="131"/>
      <c r="H82" s="130"/>
      <c r="I82" s="130"/>
      <c r="J82" s="130"/>
      <c r="K82" s="130"/>
      <c r="L82" s="132"/>
      <c r="M82" s="130"/>
      <c r="N82" s="133"/>
      <c r="O82" s="27" t="s">
        <v>26</v>
      </c>
      <c r="P82" s="309"/>
      <c r="Q82" s="310"/>
      <c r="R82" s="310"/>
      <c r="S82" s="311"/>
      <c r="T82" s="309"/>
      <c r="U82" s="310"/>
      <c r="V82" s="310"/>
      <c r="W82" s="311"/>
      <c r="X82" s="303">
        <f>G14/2</f>
        <v>9794.2794300000023</v>
      </c>
      <c r="Y82" s="304"/>
      <c r="Z82" s="304"/>
      <c r="AA82" s="305"/>
      <c r="AB82" s="303">
        <f>G14/2</f>
        <v>9794.2794300000023</v>
      </c>
      <c r="AC82" s="304"/>
      <c r="AD82" s="304"/>
      <c r="AE82" s="305"/>
      <c r="AF82" s="303">
        <f>G16/8</f>
        <v>8479.7032587194171</v>
      </c>
      <c r="AG82" s="304"/>
      <c r="AH82" s="304"/>
      <c r="AI82" s="305"/>
      <c r="AJ82" s="303">
        <f>G16/8</f>
        <v>8479.7032587194171</v>
      </c>
      <c r="AK82" s="304"/>
      <c r="AL82" s="304"/>
      <c r="AM82" s="305"/>
      <c r="AN82" s="303">
        <f>G16/8</f>
        <v>8479.7032587194171</v>
      </c>
      <c r="AO82" s="304"/>
      <c r="AP82" s="304"/>
      <c r="AQ82" s="305"/>
      <c r="AR82" s="303">
        <f>G16/8+G18/5+G24/6+G26/6+G28/5+G32/6</f>
        <v>24046.545443054121</v>
      </c>
      <c r="AS82" s="304"/>
      <c r="AT82" s="304"/>
      <c r="AU82" s="305"/>
      <c r="AV82" s="303">
        <f>G16/8+G18/5+G24/6+G26/6+G28/5+G32/6+G36/5+G47/4+G49/4+G51/4</f>
        <v>27296.557697554123</v>
      </c>
      <c r="AW82" s="304"/>
      <c r="AX82" s="304"/>
      <c r="AY82" s="305"/>
      <c r="AZ82" s="303">
        <f>G16/8+G18/5+G20/6+G24/6+G26/6+G28/5+G32/6+G36/5+G38/4+G40/4+G42/6+G47/4+G49/4+G51/4</f>
        <v>34196.880892913927</v>
      </c>
      <c r="BA82" s="304"/>
      <c r="BB82" s="304"/>
      <c r="BC82" s="305"/>
      <c r="BD82" s="303">
        <f>G16/8+G18/5+G20/6+G24/6+G26/6+G28/5+G32/6+G36/5+G38/4+G40/4+G42/6+G44/3+G47/4+G49/4+G51/4+G53/3</f>
        <v>38144.061615990715</v>
      </c>
      <c r="BE82" s="304"/>
      <c r="BF82" s="304"/>
      <c r="BG82" s="305"/>
      <c r="BH82" s="303">
        <f>G16/8+G18/5+G20/6+G24/6+G26/6+G28/5+G30+G32/6+G36/5+G38/4+G40/4+G42/6+G44/3+G47/4+G49/4+G51/4+G53/3+G58/2+G60/2+G62/2</f>
        <v>49513.241140990714</v>
      </c>
      <c r="BI82" s="304"/>
      <c r="BJ82" s="304"/>
      <c r="BK82" s="305"/>
      <c r="BL82" s="303">
        <f>G20/6+G22+G24/6+G26/6+G32/6+G34/3+G36/5+G38/4+G40/4+G42/6+G44/3+G53/3+G55+G58/2+G60/2+G62/2+G64/3</f>
        <v>44788.325801502593</v>
      </c>
      <c r="BM82" s="304"/>
      <c r="BN82" s="304"/>
      <c r="BO82" s="305"/>
      <c r="BP82" s="303">
        <f>G20/6+G34/3+G42/6+G64/3</f>
        <v>9739.3071703598016</v>
      </c>
      <c r="BQ82" s="304"/>
      <c r="BR82" s="304"/>
      <c r="BS82" s="305"/>
      <c r="BT82" s="303">
        <f>G20/6+G34/3+G42/6+G64/3+G67</f>
        <v>10443.451510359802</v>
      </c>
      <c r="BU82" s="304"/>
      <c r="BV82" s="304"/>
      <c r="BW82" s="305"/>
      <c r="BX82" s="303"/>
      <c r="BY82" s="304"/>
      <c r="BZ82" s="304"/>
      <c r="CA82" s="305"/>
      <c r="CB82" s="375"/>
      <c r="CC82" s="375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</row>
    <row r="83" spans="1:112" outlineLevel="1" x14ac:dyDescent="0.25">
      <c r="A83" s="121" t="s">
        <v>96</v>
      </c>
      <c r="B83" s="21" t="s">
        <v>57</v>
      </c>
      <c r="C83" s="122" t="s">
        <v>25</v>
      </c>
      <c r="D83" s="24" t="s">
        <v>60</v>
      </c>
      <c r="E83" s="130"/>
      <c r="F83" s="130"/>
      <c r="G83" s="131"/>
      <c r="H83" s="130"/>
      <c r="I83" s="130"/>
      <c r="J83" s="130"/>
      <c r="K83" s="130"/>
      <c r="L83" s="132"/>
      <c r="M83" s="130"/>
      <c r="N83" s="133"/>
      <c r="O83" s="27" t="s">
        <v>27</v>
      </c>
      <c r="P83" s="306"/>
      <c r="Q83" s="307"/>
      <c r="R83" s="307"/>
      <c r="S83" s="308"/>
      <c r="T83" s="306"/>
      <c r="U83" s="307"/>
      <c r="V83" s="307"/>
      <c r="W83" s="308"/>
      <c r="X83" s="306"/>
      <c r="Y83" s="307"/>
      <c r="Z83" s="307"/>
      <c r="AA83" s="308"/>
      <c r="AB83" s="306"/>
      <c r="AC83" s="307"/>
      <c r="AD83" s="307"/>
      <c r="AE83" s="308"/>
      <c r="AF83" s="306"/>
      <c r="AG83" s="307"/>
      <c r="AH83" s="307"/>
      <c r="AI83" s="308"/>
      <c r="AJ83" s="306"/>
      <c r="AK83" s="307"/>
      <c r="AL83" s="307"/>
      <c r="AM83" s="308"/>
      <c r="AN83" s="306"/>
      <c r="AO83" s="307"/>
      <c r="AP83" s="307"/>
      <c r="AQ83" s="308"/>
      <c r="AR83" s="306"/>
      <c r="AS83" s="307"/>
      <c r="AT83" s="307"/>
      <c r="AU83" s="308"/>
      <c r="AV83" s="306"/>
      <c r="AW83" s="307"/>
      <c r="AX83" s="307"/>
      <c r="AY83" s="308"/>
      <c r="AZ83" s="306"/>
      <c r="BA83" s="307"/>
      <c r="BB83" s="307"/>
      <c r="BC83" s="308"/>
      <c r="BD83" s="306"/>
      <c r="BE83" s="307"/>
      <c r="BF83" s="307"/>
      <c r="BG83" s="308"/>
      <c r="BH83" s="306"/>
      <c r="BI83" s="307"/>
      <c r="BJ83" s="307"/>
      <c r="BK83" s="308"/>
      <c r="BL83" s="306"/>
      <c r="BM83" s="307"/>
      <c r="BN83" s="307"/>
      <c r="BO83" s="308"/>
      <c r="BP83" s="306"/>
      <c r="BQ83" s="307"/>
      <c r="BR83" s="307"/>
      <c r="BS83" s="308"/>
      <c r="BT83" s="306"/>
      <c r="BU83" s="307"/>
      <c r="BV83" s="307"/>
      <c r="BW83" s="308"/>
      <c r="BX83" s="306"/>
      <c r="BY83" s="307"/>
      <c r="BZ83" s="307"/>
      <c r="CA83" s="308"/>
      <c r="CB83" s="375"/>
      <c r="CC83" s="375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</row>
    <row r="84" spans="1:112" ht="15.75" outlineLevel="1" thickBot="1" x14ac:dyDescent="0.3">
      <c r="A84" s="135" t="s">
        <v>97</v>
      </c>
      <c r="B84" s="22" t="s">
        <v>58</v>
      </c>
      <c r="C84" s="136"/>
      <c r="D84" s="25" t="s">
        <v>61</v>
      </c>
      <c r="E84" s="136"/>
      <c r="F84" s="136"/>
      <c r="G84" s="137"/>
      <c r="H84" s="136"/>
      <c r="I84" s="195"/>
      <c r="J84" s="196">
        <f>SUM(J14:J83)</f>
        <v>1.3562668091522123E-3</v>
      </c>
      <c r="K84" s="136"/>
      <c r="L84" s="138"/>
      <c r="M84" s="136"/>
      <c r="N84" s="139"/>
      <c r="O84" s="140"/>
      <c r="P84" s="79"/>
      <c r="Q84" s="80"/>
      <c r="R84" s="80"/>
      <c r="S84" s="81"/>
      <c r="T84" s="79"/>
      <c r="U84" s="80"/>
      <c r="V84" s="80"/>
      <c r="W84" s="81"/>
      <c r="X84" s="79"/>
      <c r="Y84" s="80"/>
      <c r="Z84" s="80"/>
      <c r="AA84" s="81"/>
      <c r="AB84" s="79"/>
      <c r="AC84" s="80"/>
      <c r="AD84" s="80"/>
      <c r="AE84" s="81"/>
      <c r="AF84" s="79"/>
      <c r="AG84" s="80"/>
      <c r="AH84" s="80"/>
      <c r="AI84" s="81"/>
      <c r="AJ84" s="79"/>
      <c r="AK84" s="80"/>
      <c r="AL84" s="80"/>
      <c r="AM84" s="81"/>
      <c r="AN84" s="79"/>
      <c r="AO84" s="80"/>
      <c r="AP84" s="80"/>
      <c r="AQ84" s="81"/>
      <c r="AR84" s="79"/>
      <c r="AS84" s="80"/>
      <c r="AT84" s="80"/>
      <c r="AU84" s="81"/>
      <c r="AV84" s="79"/>
      <c r="AW84" s="80"/>
      <c r="AX84" s="80"/>
      <c r="AY84" s="81"/>
      <c r="AZ84" s="79"/>
      <c r="BA84" s="80"/>
      <c r="BB84" s="80"/>
      <c r="BC84" s="81"/>
      <c r="BD84" s="79"/>
      <c r="BE84" s="80"/>
      <c r="BF84" s="80"/>
      <c r="BG84" s="81"/>
      <c r="BH84" s="79"/>
      <c r="BI84" s="80"/>
      <c r="BJ84" s="80"/>
      <c r="BK84" s="81"/>
      <c r="BL84" s="79"/>
      <c r="BM84" s="80"/>
      <c r="BN84" s="80"/>
      <c r="BO84" s="81"/>
      <c r="BP84" s="134"/>
      <c r="BQ84" s="80"/>
      <c r="BR84" s="80"/>
      <c r="BS84" s="81"/>
      <c r="BT84" s="134"/>
      <c r="BU84" s="80"/>
      <c r="BV84" s="80"/>
      <c r="BW84" s="81"/>
      <c r="BX84" s="134"/>
      <c r="BY84" s="80"/>
      <c r="BZ84" s="80"/>
      <c r="CA84" s="81"/>
      <c r="CB84" s="376"/>
      <c r="CC84" s="376"/>
    </row>
    <row r="85" spans="1:112" x14ac:dyDescent="0.25">
      <c r="B85" s="64" t="s">
        <v>73</v>
      </c>
      <c r="AZ85" s="36"/>
      <c r="BA85" s="36"/>
      <c r="BB85" s="36"/>
      <c r="BC85" s="36"/>
      <c r="BD85" s="36"/>
      <c r="BE85" s="36"/>
      <c r="BF85" s="36"/>
      <c r="BG85" s="36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/>
    </row>
    <row r="86" spans="1:112" x14ac:dyDescent="0.25">
      <c r="AZ86" s="36"/>
      <c r="BA86" s="36"/>
      <c r="BB86" s="36"/>
      <c r="BC86" s="36"/>
      <c r="BD86" s="36"/>
      <c r="BE86" s="36"/>
      <c r="BF86" s="36"/>
      <c r="BG86" s="36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/>
    </row>
    <row r="87" spans="1:112" ht="15.75" x14ac:dyDescent="0.25">
      <c r="AZ87" s="36"/>
      <c r="BA87" s="36"/>
      <c r="BB87" s="36"/>
      <c r="BC87" s="36"/>
      <c r="BD87" s="36"/>
      <c r="BE87" s="36"/>
      <c r="BF87" s="36"/>
      <c r="BG87" s="3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</row>
    <row r="88" spans="1:112" ht="15.75" x14ac:dyDescent="0.25">
      <c r="A88" s="19"/>
      <c r="B88" s="19" t="s">
        <v>43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AZ88" s="36"/>
      <c r="BA88" s="36"/>
      <c r="BB88" s="36"/>
      <c r="BC88" s="36"/>
      <c r="BD88" s="36"/>
      <c r="BE88" s="36"/>
      <c r="BF88" s="36"/>
      <c r="BG88" s="36"/>
      <c r="BH88" s="352"/>
      <c r="BI88" s="352"/>
      <c r="BJ88" s="352"/>
      <c r="BK88" s="352"/>
      <c r="BL88" s="352"/>
      <c r="BM88" s="352"/>
      <c r="BN88" s="352"/>
      <c r="BO88" s="352"/>
      <c r="BP88" s="352"/>
      <c r="BQ88" s="352"/>
      <c r="BR88" s="352"/>
      <c r="BS88" s="352"/>
      <c r="BT88" s="352"/>
      <c r="BU88" s="352"/>
      <c r="BV88" s="352"/>
      <c r="BW88" s="352"/>
      <c r="BX88" s="352"/>
      <c r="BY88" s="352"/>
      <c r="BZ88" s="352"/>
      <c r="CA88" s="352"/>
      <c r="CB88" s="352"/>
    </row>
    <row r="89" spans="1:112" ht="15.75" x14ac:dyDescent="0.25">
      <c r="A89" s="19" t="s">
        <v>120</v>
      </c>
      <c r="B89" s="215" t="s">
        <v>128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AZ89" s="36"/>
      <c r="BA89" s="36"/>
      <c r="BB89" s="36"/>
      <c r="BC89" s="36"/>
      <c r="BD89" s="36"/>
      <c r="BE89" s="36"/>
      <c r="BF89" s="36"/>
      <c r="BG89" s="3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</row>
    <row r="90" spans="1:112" ht="15.75" x14ac:dyDescent="0.25">
      <c r="A90" s="19" t="s">
        <v>129</v>
      </c>
      <c r="B90" s="267" t="s">
        <v>130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AZ90" s="36"/>
      <c r="BA90" s="36"/>
      <c r="BB90" s="36"/>
      <c r="BC90" s="36"/>
      <c r="BD90" s="36"/>
      <c r="BE90" s="36"/>
      <c r="BF90" s="36"/>
      <c r="BG90" s="36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</row>
    <row r="91" spans="1:112" ht="15.75" x14ac:dyDescent="0.25">
      <c r="AZ91" s="36"/>
      <c r="BA91" s="36"/>
      <c r="BB91" s="36"/>
      <c r="BC91" s="36"/>
      <c r="BD91" s="36"/>
      <c r="BE91" s="36"/>
      <c r="BF91" s="36"/>
      <c r="BG91" s="3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</row>
    <row r="92" spans="1:112" ht="15.75" x14ac:dyDescent="0.25"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</row>
    <row r="93" spans="1:112" x14ac:dyDescent="0.25"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/>
    </row>
  </sheetData>
  <mergeCells count="517">
    <mergeCell ref="BH88:CB88"/>
    <mergeCell ref="BH89:CB89"/>
    <mergeCell ref="B90:T90"/>
    <mergeCell ref="BH91:CB91"/>
    <mergeCell ref="BH92:CB92"/>
    <mergeCell ref="BH83:BK83"/>
    <mergeCell ref="BL83:BO83"/>
    <mergeCell ref="BP83:BS83"/>
    <mergeCell ref="BT83:BW83"/>
    <mergeCell ref="BX83:CA83"/>
    <mergeCell ref="BH87:CB87"/>
    <mergeCell ref="AJ83:AM83"/>
    <mergeCell ref="AN83:AQ83"/>
    <mergeCell ref="AR83:AU83"/>
    <mergeCell ref="AV83:AY83"/>
    <mergeCell ref="AZ83:BC83"/>
    <mergeCell ref="BD83:BG83"/>
    <mergeCell ref="P83:S83"/>
    <mergeCell ref="T83:W83"/>
    <mergeCell ref="X83:AA83"/>
    <mergeCell ref="AB83:AE83"/>
    <mergeCell ref="AF83:AI83"/>
    <mergeCell ref="BH81:BK81"/>
    <mergeCell ref="BL81:BO81"/>
    <mergeCell ref="BP81:BS81"/>
    <mergeCell ref="BT81:BW81"/>
    <mergeCell ref="BX81:CA81"/>
    <mergeCell ref="AZ81:BC81"/>
    <mergeCell ref="BD81:BG81"/>
    <mergeCell ref="BH82:BK82"/>
    <mergeCell ref="BL82:BO82"/>
    <mergeCell ref="BP82:BS82"/>
    <mergeCell ref="BT82:BW82"/>
    <mergeCell ref="BX82:CA82"/>
    <mergeCell ref="AZ82:BC82"/>
    <mergeCell ref="BD82:BG82"/>
    <mergeCell ref="P82:S82"/>
    <mergeCell ref="T82:W82"/>
    <mergeCell ref="X82:AA82"/>
    <mergeCell ref="AB82:AE82"/>
    <mergeCell ref="AF82:AI82"/>
    <mergeCell ref="AJ81:AM81"/>
    <mergeCell ref="AN81:AQ81"/>
    <mergeCell ref="AR81:AU81"/>
    <mergeCell ref="AV81:AY81"/>
    <mergeCell ref="AJ82:AM82"/>
    <mergeCell ref="AN82:AQ82"/>
    <mergeCell ref="AR82:AU82"/>
    <mergeCell ref="AV82:AY82"/>
    <mergeCell ref="N73:N74"/>
    <mergeCell ref="CB78:CB84"/>
    <mergeCell ref="CC78:CC84"/>
    <mergeCell ref="P80:S80"/>
    <mergeCell ref="T80:W80"/>
    <mergeCell ref="X80:AA80"/>
    <mergeCell ref="AB80:AE80"/>
    <mergeCell ref="AF80:AI80"/>
    <mergeCell ref="BH80:BK80"/>
    <mergeCell ref="BL80:BO80"/>
    <mergeCell ref="BP80:BS80"/>
    <mergeCell ref="BT80:BW80"/>
    <mergeCell ref="BX80:CA80"/>
    <mergeCell ref="P81:S81"/>
    <mergeCell ref="T81:W81"/>
    <mergeCell ref="X81:AA81"/>
    <mergeCell ref="AB81:AE81"/>
    <mergeCell ref="AF81:AI81"/>
    <mergeCell ref="AJ80:AM80"/>
    <mergeCell ref="AN80:AQ80"/>
    <mergeCell ref="AR80:AU80"/>
    <mergeCell ref="AV80:AY80"/>
    <mergeCell ref="AZ80:BC80"/>
    <mergeCell ref="BD80:BG80"/>
    <mergeCell ref="A73:A74"/>
    <mergeCell ref="B73:B74"/>
    <mergeCell ref="C73:C74"/>
    <mergeCell ref="F73:F74"/>
    <mergeCell ref="G73:G74"/>
    <mergeCell ref="I73:I74"/>
    <mergeCell ref="K73:K74"/>
    <mergeCell ref="L73:L74"/>
    <mergeCell ref="M73:M74"/>
    <mergeCell ref="L69:L70"/>
    <mergeCell ref="M69:M70"/>
    <mergeCell ref="N69:N70"/>
    <mergeCell ref="A71:A72"/>
    <mergeCell ref="B71:B72"/>
    <mergeCell ref="C71:C72"/>
    <mergeCell ref="F71:F72"/>
    <mergeCell ref="G71:G72"/>
    <mergeCell ref="I71:I72"/>
    <mergeCell ref="K71:K72"/>
    <mergeCell ref="A69:A70"/>
    <mergeCell ref="B69:B70"/>
    <mergeCell ref="C69:C70"/>
    <mergeCell ref="F69:F70"/>
    <mergeCell ref="G69:G70"/>
    <mergeCell ref="K69:K70"/>
    <mergeCell ref="L71:L72"/>
    <mergeCell ref="M71:M72"/>
    <mergeCell ref="N71:N72"/>
    <mergeCell ref="I67:I68"/>
    <mergeCell ref="J67:J68"/>
    <mergeCell ref="K67:K68"/>
    <mergeCell ref="L67:L68"/>
    <mergeCell ref="M67:M68"/>
    <mergeCell ref="N67:N68"/>
    <mergeCell ref="M64:M65"/>
    <mergeCell ref="N64:N65"/>
    <mergeCell ref="A67:A68"/>
    <mergeCell ref="B67:B68"/>
    <mergeCell ref="C67:C68"/>
    <mergeCell ref="D67:D68"/>
    <mergeCell ref="E67:E68"/>
    <mergeCell ref="F67:F68"/>
    <mergeCell ref="G67:G68"/>
    <mergeCell ref="H67:H68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I62:I63"/>
    <mergeCell ref="J62:J63"/>
    <mergeCell ref="K62:K63"/>
    <mergeCell ref="L62:L63"/>
    <mergeCell ref="M62:M63"/>
    <mergeCell ref="N62:N63"/>
    <mergeCell ref="M60:M61"/>
    <mergeCell ref="N60:N61"/>
    <mergeCell ref="A62:A63"/>
    <mergeCell ref="B62:B63"/>
    <mergeCell ref="C62:C63"/>
    <mergeCell ref="D62:D63"/>
    <mergeCell ref="E62:E63"/>
    <mergeCell ref="F62:F63"/>
    <mergeCell ref="G62:G63"/>
    <mergeCell ref="H62:H63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I58:I59"/>
    <mergeCell ref="J58:J59"/>
    <mergeCell ref="K58:K59"/>
    <mergeCell ref="L58:L59"/>
    <mergeCell ref="M58:M59"/>
    <mergeCell ref="N58:N59"/>
    <mergeCell ref="M55:M56"/>
    <mergeCell ref="N55:N56"/>
    <mergeCell ref="A58:A59"/>
    <mergeCell ref="B58:B59"/>
    <mergeCell ref="C58:C59"/>
    <mergeCell ref="D58:D59"/>
    <mergeCell ref="E58:E59"/>
    <mergeCell ref="F58:F59"/>
    <mergeCell ref="G58:G59"/>
    <mergeCell ref="H58:H59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I53:I54"/>
    <mergeCell ref="J53:J54"/>
    <mergeCell ref="K53:K54"/>
    <mergeCell ref="L53:L54"/>
    <mergeCell ref="M53:M54"/>
    <mergeCell ref="N53:N54"/>
    <mergeCell ref="M51:M52"/>
    <mergeCell ref="N51:N52"/>
    <mergeCell ref="A53:A54"/>
    <mergeCell ref="B53:B54"/>
    <mergeCell ref="C53:C54"/>
    <mergeCell ref="D53:D54"/>
    <mergeCell ref="E53:E54"/>
    <mergeCell ref="F53:F54"/>
    <mergeCell ref="G53:G54"/>
    <mergeCell ref="H53:H54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I49:I50"/>
    <mergeCell ref="J49:J50"/>
    <mergeCell ref="K49:K50"/>
    <mergeCell ref="L49:L50"/>
    <mergeCell ref="M49:M50"/>
    <mergeCell ref="N49:N50"/>
    <mergeCell ref="M47:M48"/>
    <mergeCell ref="N47:N48"/>
    <mergeCell ref="A49:A50"/>
    <mergeCell ref="B49:B50"/>
    <mergeCell ref="C49:C50"/>
    <mergeCell ref="D49:D50"/>
    <mergeCell ref="E49:E50"/>
    <mergeCell ref="F49:F50"/>
    <mergeCell ref="G49:G50"/>
    <mergeCell ref="H49:H50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I44:I45"/>
    <mergeCell ref="J44:J45"/>
    <mergeCell ref="K44:K45"/>
    <mergeCell ref="L44:L45"/>
    <mergeCell ref="M44:M45"/>
    <mergeCell ref="N44:N45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I40:I41"/>
    <mergeCell ref="J40:J41"/>
    <mergeCell ref="K40:K41"/>
    <mergeCell ref="L40:L41"/>
    <mergeCell ref="M40:M41"/>
    <mergeCell ref="N40:N41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I32:I33"/>
    <mergeCell ref="J32:J33"/>
    <mergeCell ref="K32:K33"/>
    <mergeCell ref="L32:L33"/>
    <mergeCell ref="M32:M33"/>
    <mergeCell ref="N32:N33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I28:I29"/>
    <mergeCell ref="J28:J29"/>
    <mergeCell ref="K28:K29"/>
    <mergeCell ref="L28:L29"/>
    <mergeCell ref="M28:M29"/>
    <mergeCell ref="N28:N29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I24:I25"/>
    <mergeCell ref="J24:J25"/>
    <mergeCell ref="K24:K25"/>
    <mergeCell ref="L24:L25"/>
    <mergeCell ref="M24:M25"/>
    <mergeCell ref="N24:N25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I20:I21"/>
    <mergeCell ref="J20:J21"/>
    <mergeCell ref="K20:K21"/>
    <mergeCell ref="L20:L21"/>
    <mergeCell ref="M20:M21"/>
    <mergeCell ref="N20:N21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G14:G15"/>
    <mergeCell ref="H14:H15"/>
    <mergeCell ref="I14:I15"/>
    <mergeCell ref="J14:J15"/>
    <mergeCell ref="K14:K15"/>
    <mergeCell ref="L14:L15"/>
    <mergeCell ref="BL12:BO12"/>
    <mergeCell ref="BP12:BS12"/>
    <mergeCell ref="BT12:BW12"/>
    <mergeCell ref="BX12:CA12"/>
    <mergeCell ref="A14:A15"/>
    <mergeCell ref="B14:B15"/>
    <mergeCell ref="C14:C15"/>
    <mergeCell ref="D14:D15"/>
    <mergeCell ref="E14:E15"/>
    <mergeCell ref="F14:F15"/>
    <mergeCell ref="AN12:AQ12"/>
    <mergeCell ref="AR12:AU12"/>
    <mergeCell ref="AV12:AY12"/>
    <mergeCell ref="AZ12:BC12"/>
    <mergeCell ref="BD12:BG12"/>
    <mergeCell ref="BH12:BK12"/>
    <mergeCell ref="P12:S12"/>
    <mergeCell ref="T12:W12"/>
    <mergeCell ref="X12:AA12"/>
    <mergeCell ref="AB12:AE12"/>
    <mergeCell ref="AF12:AI12"/>
    <mergeCell ref="AJ12:AM12"/>
    <mergeCell ref="CB10:CB11"/>
    <mergeCell ref="CC10:CC11"/>
    <mergeCell ref="P11:S11"/>
    <mergeCell ref="T11:W11"/>
    <mergeCell ref="X11:AA11"/>
    <mergeCell ref="AB11:AE11"/>
    <mergeCell ref="AF11:AI11"/>
    <mergeCell ref="AJ11:AM11"/>
    <mergeCell ref="BL11:BO11"/>
    <mergeCell ref="BP11:BS11"/>
    <mergeCell ref="BT11:BW11"/>
    <mergeCell ref="BX11:CA11"/>
    <mergeCell ref="AZ11:BC11"/>
    <mergeCell ref="BD11:BG11"/>
    <mergeCell ref="BH11:BK11"/>
    <mergeCell ref="J10:J11"/>
    <mergeCell ref="K10:L10"/>
    <mergeCell ref="M10:N10"/>
    <mergeCell ref="O10:O11"/>
    <mergeCell ref="P5:AE5"/>
    <mergeCell ref="H6:AP6"/>
    <mergeCell ref="H7:AP7"/>
    <mergeCell ref="P10:AE10"/>
    <mergeCell ref="AF10:CA10"/>
    <mergeCell ref="AN11:AQ11"/>
    <mergeCell ref="AR11:AU11"/>
    <mergeCell ref="AV11:AY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23622047244094491" right="0.23622047244094491" top="0.74803149606299213" bottom="0.74803149606299213" header="0.31496062992125984" footer="0.31496062992125984"/>
  <pageSetup paperSize="8" scale="3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E6DE-6C5B-4C82-B04B-9B61815339E0}">
  <dimension ref="A1:CV93"/>
  <sheetViews>
    <sheetView tabSelected="1" topLeftCell="M49" zoomScaleNormal="100" zoomScaleSheetLayoutView="50" zoomScalePageLayoutView="40" workbookViewId="0">
      <selection activeCell="BM68" sqref="BM68"/>
    </sheetView>
  </sheetViews>
  <sheetFormatPr defaultRowHeight="15" outlineLevelRow="1" x14ac:dyDescent="0.25"/>
  <cols>
    <col min="1" max="1" width="12.85546875" style="1" customWidth="1"/>
    <col min="2" max="2" width="54.5703125" style="1" customWidth="1"/>
    <col min="3" max="3" width="15.7109375" style="1" customWidth="1"/>
    <col min="4" max="4" width="10.140625" style="1" customWidth="1"/>
    <col min="5" max="6" width="15.7109375" style="1" customWidth="1"/>
    <col min="7" max="7" width="15.7109375" style="1" customWidth="1" collapsed="1"/>
    <col min="8" max="10" width="15.7109375" style="1" customWidth="1"/>
    <col min="11" max="11" width="16.42578125" style="1" customWidth="1" collapsed="1"/>
    <col min="12" max="12" width="14.28515625" style="39" customWidth="1"/>
    <col min="13" max="13" width="13.85546875" style="1" customWidth="1"/>
    <col min="14" max="14" width="14.7109375" style="1" customWidth="1"/>
    <col min="15" max="15" width="8.85546875" style="1" customWidth="1" collapsed="1"/>
    <col min="16" max="67" width="3" style="1" customWidth="1"/>
    <col min="68" max="69" width="21.5703125" style="1" customWidth="1"/>
    <col min="70" max="70" width="14.85546875" style="1" customWidth="1"/>
    <col min="71" max="16384" width="9.140625" style="1"/>
  </cols>
  <sheetData>
    <row r="1" spans="1:90" ht="18.75" customHeight="1" x14ac:dyDescent="0.25">
      <c r="B1" s="8" t="s">
        <v>39</v>
      </c>
      <c r="P1" s="45"/>
      <c r="Q1" s="45"/>
      <c r="R1" s="45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2" t="s">
        <v>41</v>
      </c>
    </row>
    <row r="2" spans="1:90" ht="18.75" customHeight="1" x14ac:dyDescent="0.25">
      <c r="B2" s="8"/>
      <c r="P2" s="45"/>
      <c r="Q2" s="45"/>
      <c r="R2" s="45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2" t="s">
        <v>67</v>
      </c>
    </row>
    <row r="3" spans="1:90" ht="18.75" customHeight="1" x14ac:dyDescent="0.25">
      <c r="B3" s="8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2" t="s">
        <v>68</v>
      </c>
    </row>
    <row r="4" spans="1:90" ht="18.75" customHeight="1" x14ac:dyDescent="0.25">
      <c r="B4" s="8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2" t="s">
        <v>69</v>
      </c>
    </row>
    <row r="5" spans="1:90" ht="18.75" customHeight="1" x14ac:dyDescent="0.25">
      <c r="B5" s="8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2" t="s">
        <v>70</v>
      </c>
    </row>
    <row r="6" spans="1:90" ht="18.75" customHeight="1" x14ac:dyDescent="0.25">
      <c r="B6" s="8"/>
      <c r="H6" s="366" t="s">
        <v>104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8"/>
    </row>
    <row r="7" spans="1:90" ht="30.75" customHeight="1" x14ac:dyDescent="0.25">
      <c r="B7" s="8"/>
      <c r="C7" s="2"/>
      <c r="D7" s="2"/>
      <c r="E7" s="2"/>
      <c r="F7" s="2"/>
      <c r="G7" s="2"/>
      <c r="H7" s="325" t="s">
        <v>132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P7" s="2"/>
      <c r="BQ7" s="2"/>
      <c r="BR7" s="2"/>
      <c r="BT7" s="36"/>
      <c r="BU7" s="36"/>
      <c r="BV7" s="36"/>
      <c r="BW7" s="36"/>
      <c r="BX7" s="36"/>
      <c r="BY7" s="36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8"/>
      <c r="CL7" s="36"/>
    </row>
    <row r="8" spans="1:90" ht="18.75" customHeight="1" x14ac:dyDescent="0.25">
      <c r="A8" s="3"/>
      <c r="B8" s="9" t="s">
        <v>72</v>
      </c>
      <c r="C8" s="2"/>
      <c r="D8" s="2"/>
      <c r="E8" s="2"/>
      <c r="F8" s="2"/>
      <c r="G8" s="2"/>
      <c r="H8" s="2"/>
      <c r="I8" s="2"/>
      <c r="J8" s="2"/>
      <c r="K8" s="2"/>
      <c r="L8" s="220"/>
      <c r="M8" s="2"/>
      <c r="N8" s="2"/>
      <c r="O8" s="2"/>
      <c r="AS8" s="11"/>
      <c r="AT8" s="11"/>
      <c r="AU8" s="11"/>
      <c r="AV8" s="11"/>
      <c r="AW8" s="11"/>
      <c r="AX8" s="11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2" t="s">
        <v>71</v>
      </c>
      <c r="BP8" s="4"/>
      <c r="BQ8" s="4"/>
      <c r="BR8" s="4"/>
      <c r="BT8" s="5"/>
      <c r="BU8" s="5"/>
    </row>
    <row r="9" spans="1:90" ht="18.75" customHeight="1" thickBot="1" x14ac:dyDescent="0.3">
      <c r="A9" s="7"/>
      <c r="B9" s="9" t="s">
        <v>40</v>
      </c>
      <c r="C9" s="7"/>
      <c r="D9" s="7"/>
      <c r="E9" s="7"/>
      <c r="F9" s="7"/>
      <c r="G9" s="7"/>
      <c r="H9" s="7"/>
      <c r="I9" s="7"/>
      <c r="J9" s="7"/>
      <c r="K9" s="7"/>
      <c r="L9" s="4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37"/>
      <c r="AW9" s="37"/>
      <c r="AX9" s="37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12" t="s">
        <v>42</v>
      </c>
      <c r="BP9" s="5"/>
      <c r="BQ9" s="5"/>
    </row>
    <row r="10" spans="1:90" s="19" customFormat="1" ht="46.15" customHeight="1" thickBot="1" x14ac:dyDescent="0.3">
      <c r="A10" s="353" t="s">
        <v>15</v>
      </c>
      <c r="B10" s="353" t="s">
        <v>0</v>
      </c>
      <c r="C10" s="355" t="s">
        <v>21</v>
      </c>
      <c r="D10" s="333" t="s">
        <v>45</v>
      </c>
      <c r="E10" s="333" t="s">
        <v>46</v>
      </c>
      <c r="F10" s="333" t="s">
        <v>50</v>
      </c>
      <c r="G10" s="357" t="s">
        <v>51</v>
      </c>
      <c r="H10" s="333" t="s">
        <v>47</v>
      </c>
      <c r="I10" s="333" t="s">
        <v>48</v>
      </c>
      <c r="J10" s="333" t="s">
        <v>49</v>
      </c>
      <c r="K10" s="337" t="s">
        <v>22</v>
      </c>
      <c r="L10" s="338"/>
      <c r="M10" s="339" t="s">
        <v>24</v>
      </c>
      <c r="N10" s="338"/>
      <c r="O10" s="340"/>
      <c r="P10" s="335">
        <v>2022</v>
      </c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6"/>
      <c r="AF10" s="369" t="s">
        <v>28</v>
      </c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67" t="s">
        <v>43</v>
      </c>
      <c r="BQ10" s="367" t="s">
        <v>44</v>
      </c>
      <c r="BR10" s="18"/>
    </row>
    <row r="11" spans="1:90" s="19" customFormat="1" ht="41.45" customHeight="1" thickBot="1" x14ac:dyDescent="0.3">
      <c r="A11" s="354"/>
      <c r="B11" s="354"/>
      <c r="C11" s="356"/>
      <c r="D11" s="334"/>
      <c r="E11" s="334"/>
      <c r="F11" s="334"/>
      <c r="G11" s="358"/>
      <c r="H11" s="334"/>
      <c r="I11" s="334"/>
      <c r="J11" s="334"/>
      <c r="K11" s="35" t="s">
        <v>23</v>
      </c>
      <c r="L11" s="35" t="s">
        <v>131</v>
      </c>
      <c r="M11" s="35" t="s">
        <v>23</v>
      </c>
      <c r="N11" s="35" t="s">
        <v>131</v>
      </c>
      <c r="O11" s="341"/>
      <c r="P11" s="327" t="s">
        <v>9</v>
      </c>
      <c r="Q11" s="328"/>
      <c r="R11" s="328"/>
      <c r="S11" s="329"/>
      <c r="T11" s="327" t="s">
        <v>10</v>
      </c>
      <c r="U11" s="328"/>
      <c r="V11" s="328"/>
      <c r="W11" s="329"/>
      <c r="X11" s="327" t="s">
        <v>11</v>
      </c>
      <c r="Y11" s="328"/>
      <c r="Z11" s="328"/>
      <c r="AA11" s="329"/>
      <c r="AB11" s="327" t="s">
        <v>12</v>
      </c>
      <c r="AC11" s="328"/>
      <c r="AD11" s="328"/>
      <c r="AE11" s="329"/>
      <c r="AF11" s="327" t="s">
        <v>1</v>
      </c>
      <c r="AG11" s="328"/>
      <c r="AH11" s="328"/>
      <c r="AI11" s="329"/>
      <c r="AJ11" s="327" t="s">
        <v>2</v>
      </c>
      <c r="AK11" s="328"/>
      <c r="AL11" s="328"/>
      <c r="AM11" s="329"/>
      <c r="AN11" s="327" t="s">
        <v>3</v>
      </c>
      <c r="AO11" s="328"/>
      <c r="AP11" s="328"/>
      <c r="AQ11" s="329"/>
      <c r="AR11" s="327" t="s">
        <v>4</v>
      </c>
      <c r="AS11" s="328"/>
      <c r="AT11" s="328"/>
      <c r="AU11" s="329"/>
      <c r="AV11" s="327" t="s">
        <v>5</v>
      </c>
      <c r="AW11" s="328"/>
      <c r="AX11" s="328"/>
      <c r="AY11" s="329"/>
      <c r="AZ11" s="327" t="s">
        <v>6</v>
      </c>
      <c r="BA11" s="328"/>
      <c r="BB11" s="328"/>
      <c r="BC11" s="329"/>
      <c r="BD11" s="327" t="s">
        <v>7</v>
      </c>
      <c r="BE11" s="328"/>
      <c r="BF11" s="328"/>
      <c r="BG11" s="329"/>
      <c r="BH11" s="327" t="s">
        <v>8</v>
      </c>
      <c r="BI11" s="328"/>
      <c r="BJ11" s="328"/>
      <c r="BK11" s="329"/>
      <c r="BL11" s="327" t="s">
        <v>9</v>
      </c>
      <c r="BM11" s="328"/>
      <c r="BN11" s="328"/>
      <c r="BO11" s="329"/>
      <c r="BP11" s="368"/>
      <c r="BQ11" s="368"/>
    </row>
    <row r="12" spans="1:90" ht="15" customHeight="1" thickBot="1" x14ac:dyDescent="0.3">
      <c r="A12" s="55">
        <v>1</v>
      </c>
      <c r="B12" s="2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28">
        <v>11</v>
      </c>
      <c r="L12" s="28">
        <v>12</v>
      </c>
      <c r="M12" s="28">
        <v>13</v>
      </c>
      <c r="N12" s="28">
        <v>14</v>
      </c>
      <c r="O12" s="221">
        <v>15</v>
      </c>
      <c r="P12" s="330">
        <v>16</v>
      </c>
      <c r="Q12" s="331"/>
      <c r="R12" s="331"/>
      <c r="S12" s="332"/>
      <c r="T12" s="330">
        <v>17</v>
      </c>
      <c r="U12" s="331"/>
      <c r="V12" s="331"/>
      <c r="W12" s="332"/>
      <c r="X12" s="330">
        <v>18</v>
      </c>
      <c r="Y12" s="331"/>
      <c r="Z12" s="331"/>
      <c r="AA12" s="332"/>
      <c r="AB12" s="330">
        <v>19</v>
      </c>
      <c r="AC12" s="331"/>
      <c r="AD12" s="331"/>
      <c r="AE12" s="332"/>
      <c r="AF12" s="330">
        <v>20</v>
      </c>
      <c r="AG12" s="331"/>
      <c r="AH12" s="331"/>
      <c r="AI12" s="332"/>
      <c r="AJ12" s="330">
        <v>21</v>
      </c>
      <c r="AK12" s="331"/>
      <c r="AL12" s="331"/>
      <c r="AM12" s="332"/>
      <c r="AN12" s="330">
        <v>22</v>
      </c>
      <c r="AO12" s="331"/>
      <c r="AP12" s="331"/>
      <c r="AQ12" s="332"/>
      <c r="AR12" s="330">
        <v>23</v>
      </c>
      <c r="AS12" s="331"/>
      <c r="AT12" s="331"/>
      <c r="AU12" s="332"/>
      <c r="AV12" s="330">
        <v>24</v>
      </c>
      <c r="AW12" s="331"/>
      <c r="AX12" s="331"/>
      <c r="AY12" s="332"/>
      <c r="AZ12" s="330">
        <v>25</v>
      </c>
      <c r="BA12" s="331"/>
      <c r="BB12" s="331"/>
      <c r="BC12" s="332"/>
      <c r="BD12" s="330">
        <v>26</v>
      </c>
      <c r="BE12" s="331"/>
      <c r="BF12" s="331"/>
      <c r="BG12" s="332"/>
      <c r="BH12" s="330">
        <v>27</v>
      </c>
      <c r="BI12" s="331"/>
      <c r="BJ12" s="331"/>
      <c r="BK12" s="332"/>
      <c r="BL12" s="330">
        <v>28</v>
      </c>
      <c r="BM12" s="331"/>
      <c r="BN12" s="331"/>
      <c r="BO12" s="332"/>
      <c r="BP12" s="222">
        <v>29</v>
      </c>
      <c r="BQ12" s="28">
        <v>30</v>
      </c>
    </row>
    <row r="13" spans="1:90" ht="17.25" customHeight="1" thickBot="1" x14ac:dyDescent="0.3">
      <c r="A13" s="256" t="s">
        <v>74</v>
      </c>
      <c r="B13" s="257" t="s">
        <v>52</v>
      </c>
      <c r="C13" s="258"/>
      <c r="D13" s="258"/>
      <c r="E13" s="258"/>
      <c r="F13" s="258"/>
      <c r="G13" s="259"/>
      <c r="H13" s="258"/>
      <c r="I13" s="258"/>
      <c r="J13" s="258"/>
      <c r="K13" s="260">
        <v>44820</v>
      </c>
      <c r="L13" s="260">
        <v>44803</v>
      </c>
      <c r="M13" s="258"/>
      <c r="N13" s="258"/>
      <c r="O13" s="261"/>
      <c r="P13" s="262"/>
      <c r="Q13" s="263"/>
      <c r="R13" s="263"/>
      <c r="S13" s="264"/>
      <c r="T13" s="262"/>
      <c r="U13" s="263"/>
      <c r="V13" s="263"/>
      <c r="W13" s="264"/>
      <c r="X13" s="262"/>
      <c r="Y13" s="263"/>
      <c r="Z13" s="263"/>
      <c r="AA13" s="264"/>
      <c r="AB13" s="262"/>
      <c r="AC13" s="263"/>
      <c r="AD13" s="263"/>
      <c r="AE13" s="264"/>
      <c r="AF13" s="262"/>
      <c r="AG13" s="263"/>
      <c r="AH13" s="263"/>
      <c r="AI13" s="264"/>
      <c r="AJ13" s="262"/>
      <c r="AK13" s="263"/>
      <c r="AL13" s="263"/>
      <c r="AM13" s="264"/>
      <c r="AN13" s="262"/>
      <c r="AO13" s="263"/>
      <c r="AP13" s="263"/>
      <c r="AQ13" s="264"/>
      <c r="AR13" s="262"/>
      <c r="AS13" s="263"/>
      <c r="AT13" s="263"/>
      <c r="AU13" s="264"/>
      <c r="AV13" s="262"/>
      <c r="AW13" s="263"/>
      <c r="AX13" s="263"/>
      <c r="AY13" s="264"/>
      <c r="AZ13" s="262"/>
      <c r="BA13" s="263"/>
      <c r="BB13" s="263"/>
      <c r="BC13" s="264"/>
      <c r="BD13" s="262"/>
      <c r="BE13" s="263"/>
      <c r="BF13" s="263"/>
      <c r="BG13" s="264"/>
      <c r="BH13" s="262"/>
      <c r="BI13" s="263"/>
      <c r="BJ13" s="263"/>
      <c r="BK13" s="264"/>
      <c r="BL13" s="262"/>
      <c r="BM13" s="263"/>
      <c r="BN13" s="263"/>
      <c r="BO13" s="264"/>
      <c r="BP13" s="265"/>
      <c r="BQ13" s="266"/>
    </row>
    <row r="14" spans="1:90" s="6" customFormat="1" x14ac:dyDescent="0.25">
      <c r="A14" s="274" t="s">
        <v>75</v>
      </c>
      <c r="B14" s="359" t="s">
        <v>108</v>
      </c>
      <c r="C14" s="278" t="s">
        <v>25</v>
      </c>
      <c r="D14" s="278" t="s">
        <v>119</v>
      </c>
      <c r="E14" s="278">
        <v>1</v>
      </c>
      <c r="F14" s="280">
        <f>G14</f>
        <v>19588.558860000005</v>
      </c>
      <c r="G14" s="280">
        <f>(18276169.01+326158.32+999569.53)/1000-13.338</f>
        <v>19588.558860000005</v>
      </c>
      <c r="H14" s="282">
        <f>G14/G76</f>
        <v>6.7813340457610616E-2</v>
      </c>
      <c r="I14" s="284">
        <v>0.02</v>
      </c>
      <c r="J14" s="301">
        <f>I14*H14</f>
        <v>1.3562668091522123E-3</v>
      </c>
      <c r="K14" s="319">
        <v>44820</v>
      </c>
      <c r="L14" s="323">
        <v>44926</v>
      </c>
      <c r="M14" s="270"/>
      <c r="N14" s="270"/>
      <c r="O14" s="47" t="s">
        <v>26</v>
      </c>
      <c r="P14" s="226"/>
      <c r="Q14" s="227"/>
      <c r="R14" s="147">
        <v>5</v>
      </c>
      <c r="S14" s="148">
        <v>5</v>
      </c>
      <c r="T14" s="146">
        <v>5</v>
      </c>
      <c r="U14" s="147">
        <v>5</v>
      </c>
      <c r="V14" s="147">
        <v>5</v>
      </c>
      <c r="W14" s="148">
        <v>8</v>
      </c>
      <c r="X14" s="146">
        <v>8</v>
      </c>
      <c r="Y14" s="147">
        <v>8</v>
      </c>
      <c r="Z14" s="147">
        <v>8</v>
      </c>
      <c r="AA14" s="148">
        <v>5</v>
      </c>
      <c r="AB14" s="146">
        <v>5</v>
      </c>
      <c r="AC14" s="147">
        <v>5</v>
      </c>
      <c r="AD14" s="147">
        <v>5</v>
      </c>
      <c r="AE14" s="148">
        <v>5</v>
      </c>
      <c r="AF14" s="155"/>
      <c r="AG14" s="156"/>
      <c r="AH14" s="156"/>
      <c r="AI14" s="157"/>
      <c r="AJ14" s="155"/>
      <c r="AK14" s="156"/>
      <c r="AL14" s="156"/>
      <c r="AM14" s="157"/>
      <c r="AN14" s="155"/>
      <c r="AO14" s="156"/>
      <c r="AP14" s="156"/>
      <c r="AQ14" s="157"/>
      <c r="AR14" s="155"/>
      <c r="AS14" s="156"/>
      <c r="AT14" s="156"/>
      <c r="AU14" s="157"/>
      <c r="AV14" s="155"/>
      <c r="AW14" s="156"/>
      <c r="AX14" s="156"/>
      <c r="AY14" s="157"/>
      <c r="AZ14" s="155"/>
      <c r="BA14" s="156"/>
      <c r="BB14" s="156"/>
      <c r="BC14" s="157"/>
      <c r="BD14" s="155"/>
      <c r="BE14" s="156"/>
      <c r="BF14" s="156"/>
      <c r="BG14" s="157"/>
      <c r="BH14" s="155"/>
      <c r="BI14" s="156"/>
      <c r="BJ14" s="156"/>
      <c r="BK14" s="157"/>
      <c r="BL14" s="149"/>
      <c r="BM14" s="150"/>
      <c r="BN14" s="75"/>
      <c r="BO14" s="76"/>
      <c r="BP14" s="77"/>
      <c r="BQ14" s="78"/>
    </row>
    <row r="15" spans="1:90" s="6" customFormat="1" ht="15.75" thickBot="1" x14ac:dyDescent="0.3">
      <c r="A15" s="275"/>
      <c r="B15" s="360"/>
      <c r="C15" s="279"/>
      <c r="D15" s="279"/>
      <c r="E15" s="279"/>
      <c r="F15" s="281"/>
      <c r="G15" s="281"/>
      <c r="H15" s="283"/>
      <c r="I15" s="285"/>
      <c r="J15" s="302"/>
      <c r="K15" s="320"/>
      <c r="L15" s="324"/>
      <c r="M15" s="271"/>
      <c r="N15" s="271"/>
      <c r="O15" s="48" t="s">
        <v>27</v>
      </c>
      <c r="P15" s="228"/>
      <c r="Q15" s="136"/>
      <c r="R15" s="229">
        <v>5</v>
      </c>
      <c r="S15" s="224">
        <v>5</v>
      </c>
      <c r="T15" s="225">
        <v>5</v>
      </c>
      <c r="U15" s="223">
        <v>5</v>
      </c>
      <c r="V15" s="138"/>
      <c r="W15" s="165"/>
      <c r="X15" s="164"/>
      <c r="Y15" s="138"/>
      <c r="Z15" s="138"/>
      <c r="AA15" s="165"/>
      <c r="AB15" s="164"/>
      <c r="AC15" s="138"/>
      <c r="AD15" s="138"/>
      <c r="AE15" s="165"/>
      <c r="AF15" s="164"/>
      <c r="AG15" s="138"/>
      <c r="AH15" s="138"/>
      <c r="AI15" s="165"/>
      <c r="AJ15" s="164"/>
      <c r="AK15" s="138"/>
      <c r="AL15" s="138"/>
      <c r="AM15" s="165"/>
      <c r="AN15" s="164"/>
      <c r="AO15" s="138"/>
      <c r="AP15" s="138"/>
      <c r="AQ15" s="165"/>
      <c r="AR15" s="164"/>
      <c r="AS15" s="138"/>
      <c r="AT15" s="138"/>
      <c r="AU15" s="165"/>
      <c r="AV15" s="164"/>
      <c r="AW15" s="138"/>
      <c r="AX15" s="138"/>
      <c r="AY15" s="165"/>
      <c r="AZ15" s="164"/>
      <c r="BA15" s="138"/>
      <c r="BB15" s="138"/>
      <c r="BC15" s="165"/>
      <c r="BD15" s="164"/>
      <c r="BE15" s="138"/>
      <c r="BF15" s="138"/>
      <c r="BG15" s="165"/>
      <c r="BH15" s="164"/>
      <c r="BI15" s="138"/>
      <c r="BJ15" s="138"/>
      <c r="BK15" s="165"/>
      <c r="BL15" s="152"/>
      <c r="BM15" s="153"/>
      <c r="BN15" s="153"/>
      <c r="BO15" s="154"/>
      <c r="BP15" s="82"/>
      <c r="BQ15" s="83"/>
    </row>
    <row r="16" spans="1:90" s="6" customFormat="1" x14ac:dyDescent="0.25">
      <c r="A16" s="274" t="s">
        <v>105</v>
      </c>
      <c r="B16" s="276" t="s">
        <v>121</v>
      </c>
      <c r="C16" s="278" t="s">
        <v>25</v>
      </c>
      <c r="D16" s="278" t="s">
        <v>119</v>
      </c>
      <c r="E16" s="278">
        <v>1</v>
      </c>
      <c r="F16" s="280">
        <f>G16</f>
        <v>67837.626069755337</v>
      </c>
      <c r="G16" s="280">
        <f>(((8684981+429471+1777236+675876+33015+3552293+3506788+408303+27131368+5949319+7436648+5949319)*1.011)*1.004*1.0198)/1000</f>
        <v>67837.626069755337</v>
      </c>
      <c r="H16" s="282">
        <f>G16/G76</f>
        <v>0.23484606832911237</v>
      </c>
      <c r="I16" s="284">
        <v>0</v>
      </c>
      <c r="J16" s="301">
        <f t="shared" ref="J16" si="0">I16*H16</f>
        <v>0</v>
      </c>
      <c r="K16" s="319">
        <v>44927</v>
      </c>
      <c r="L16" s="315">
        <v>45107</v>
      </c>
      <c r="M16" s="270"/>
      <c r="N16" s="270"/>
      <c r="O16" s="47" t="s">
        <v>26</v>
      </c>
      <c r="P16" s="226"/>
      <c r="Q16" s="227"/>
      <c r="R16" s="227"/>
      <c r="S16" s="230"/>
      <c r="T16" s="155"/>
      <c r="U16" s="156"/>
      <c r="V16" s="156"/>
      <c r="W16" s="157"/>
      <c r="X16" s="155"/>
      <c r="Y16" s="156"/>
      <c r="Z16" s="156"/>
      <c r="AA16" s="157"/>
      <c r="AB16" s="155"/>
      <c r="AC16" s="156"/>
      <c r="AD16" s="156"/>
      <c r="AE16" s="157"/>
      <c r="AF16" s="146">
        <v>6</v>
      </c>
      <c r="AG16" s="147">
        <v>11</v>
      </c>
      <c r="AH16" s="147">
        <v>11</v>
      </c>
      <c r="AI16" s="148">
        <v>11</v>
      </c>
      <c r="AJ16" s="146">
        <v>12</v>
      </c>
      <c r="AK16" s="147">
        <v>12</v>
      </c>
      <c r="AL16" s="147">
        <v>12</v>
      </c>
      <c r="AM16" s="148">
        <v>12</v>
      </c>
      <c r="AN16" s="146">
        <v>13</v>
      </c>
      <c r="AO16" s="147">
        <v>13</v>
      </c>
      <c r="AP16" s="147">
        <v>13</v>
      </c>
      <c r="AQ16" s="148">
        <v>13</v>
      </c>
      <c r="AR16" s="146">
        <v>9</v>
      </c>
      <c r="AS16" s="147">
        <v>9</v>
      </c>
      <c r="AT16" s="147">
        <v>9</v>
      </c>
      <c r="AU16" s="148">
        <v>9</v>
      </c>
      <c r="AV16" s="146">
        <v>9</v>
      </c>
      <c r="AW16" s="147">
        <v>9</v>
      </c>
      <c r="AX16" s="147">
        <v>9</v>
      </c>
      <c r="AY16" s="148">
        <v>9</v>
      </c>
      <c r="AZ16" s="146">
        <v>9</v>
      </c>
      <c r="BA16" s="147">
        <v>9</v>
      </c>
      <c r="BB16" s="147">
        <v>9</v>
      </c>
      <c r="BC16" s="148">
        <v>9</v>
      </c>
      <c r="BD16" s="155"/>
      <c r="BE16" s="156"/>
      <c r="BF16" s="156"/>
      <c r="BG16" s="157"/>
      <c r="BH16" s="155"/>
      <c r="BI16" s="156"/>
      <c r="BJ16" s="156"/>
      <c r="BK16" s="157"/>
      <c r="BL16" s="149"/>
      <c r="BM16" s="150"/>
      <c r="BN16" s="150"/>
      <c r="BO16" s="151"/>
      <c r="BP16" s="77"/>
      <c r="BQ16" s="78"/>
    </row>
    <row r="17" spans="1:69" s="6" customFormat="1" ht="15.75" thickBot="1" x14ac:dyDescent="0.3">
      <c r="A17" s="275"/>
      <c r="B17" s="277"/>
      <c r="C17" s="279"/>
      <c r="D17" s="279"/>
      <c r="E17" s="279"/>
      <c r="F17" s="281"/>
      <c r="G17" s="281"/>
      <c r="H17" s="283"/>
      <c r="I17" s="285"/>
      <c r="J17" s="302"/>
      <c r="K17" s="320"/>
      <c r="L17" s="316"/>
      <c r="M17" s="271"/>
      <c r="N17" s="271"/>
      <c r="O17" s="48" t="s">
        <v>27</v>
      </c>
      <c r="P17" s="228"/>
      <c r="Q17" s="136"/>
      <c r="R17" s="136"/>
      <c r="S17" s="139"/>
      <c r="T17" s="164"/>
      <c r="U17" s="138"/>
      <c r="V17" s="138"/>
      <c r="W17" s="165"/>
      <c r="X17" s="164"/>
      <c r="Y17" s="138"/>
      <c r="Z17" s="138"/>
      <c r="AA17" s="165"/>
      <c r="AB17" s="164"/>
      <c r="AC17" s="138"/>
      <c r="AD17" s="138"/>
      <c r="AE17" s="165"/>
      <c r="AF17" s="164"/>
      <c r="AG17" s="138"/>
      <c r="AH17" s="138"/>
      <c r="AI17" s="165"/>
      <c r="AJ17" s="164"/>
      <c r="AK17" s="138"/>
      <c r="AL17" s="138"/>
      <c r="AM17" s="165"/>
      <c r="AN17" s="164"/>
      <c r="AO17" s="138"/>
      <c r="AP17" s="138"/>
      <c r="AQ17" s="165"/>
      <c r="AR17" s="164"/>
      <c r="AS17" s="138"/>
      <c r="AT17" s="138"/>
      <c r="AU17" s="165"/>
      <c r="AV17" s="164"/>
      <c r="AW17" s="138"/>
      <c r="AX17" s="138"/>
      <c r="AY17" s="165"/>
      <c r="AZ17" s="164"/>
      <c r="BA17" s="138"/>
      <c r="BB17" s="138"/>
      <c r="BC17" s="165"/>
      <c r="BD17" s="164"/>
      <c r="BE17" s="138"/>
      <c r="BF17" s="138"/>
      <c r="BG17" s="165"/>
      <c r="BH17" s="164"/>
      <c r="BI17" s="138"/>
      <c r="BJ17" s="138"/>
      <c r="BK17" s="165"/>
      <c r="BL17" s="152"/>
      <c r="BM17" s="153"/>
      <c r="BN17" s="153"/>
      <c r="BO17" s="154"/>
      <c r="BP17" s="82"/>
      <c r="BQ17" s="83"/>
    </row>
    <row r="18" spans="1:69" s="6" customFormat="1" x14ac:dyDescent="0.25">
      <c r="A18" s="274" t="s">
        <v>106</v>
      </c>
      <c r="B18" s="276" t="s">
        <v>118</v>
      </c>
      <c r="C18" s="278" t="s">
        <v>25</v>
      </c>
      <c r="D18" s="278" t="s">
        <v>119</v>
      </c>
      <c r="E18" s="278">
        <v>1</v>
      </c>
      <c r="F18" s="280">
        <f>G18</f>
        <v>9183.6316911406884</v>
      </c>
      <c r="G18" s="280">
        <f>(((4107263+4673053+91542)*1.011)*1.004*1.0198)/1000</f>
        <v>9183.6316911406884</v>
      </c>
      <c r="H18" s="282">
        <f>G18/G76</f>
        <v>3.1792677907527586E-2</v>
      </c>
      <c r="I18" s="284">
        <v>0</v>
      </c>
      <c r="J18" s="301">
        <f t="shared" ref="J18" si="1">I18*H18</f>
        <v>0</v>
      </c>
      <c r="K18" s="319">
        <v>45017</v>
      </c>
      <c r="L18" s="315">
        <v>45138</v>
      </c>
      <c r="M18" s="270"/>
      <c r="N18" s="270"/>
      <c r="O18" s="47" t="s">
        <v>26</v>
      </c>
      <c r="P18" s="226"/>
      <c r="Q18" s="227"/>
      <c r="R18" s="227"/>
      <c r="S18" s="230"/>
      <c r="T18" s="155"/>
      <c r="U18" s="156"/>
      <c r="V18" s="156"/>
      <c r="W18" s="157"/>
      <c r="X18" s="155"/>
      <c r="Y18" s="156"/>
      <c r="Z18" s="156"/>
      <c r="AA18" s="157"/>
      <c r="AB18" s="155"/>
      <c r="AC18" s="156"/>
      <c r="AD18" s="156"/>
      <c r="AE18" s="157"/>
      <c r="AF18" s="155"/>
      <c r="AG18" s="156"/>
      <c r="AH18" s="156"/>
      <c r="AI18" s="157"/>
      <c r="AJ18" s="155"/>
      <c r="AK18" s="156"/>
      <c r="AL18" s="156"/>
      <c r="AM18" s="157"/>
      <c r="AN18" s="155"/>
      <c r="AO18" s="156"/>
      <c r="AP18" s="156"/>
      <c r="AQ18" s="157"/>
      <c r="AR18" s="146">
        <v>4</v>
      </c>
      <c r="AS18" s="147">
        <v>4</v>
      </c>
      <c r="AT18" s="147">
        <v>4</v>
      </c>
      <c r="AU18" s="148">
        <v>4</v>
      </c>
      <c r="AV18" s="146">
        <v>4</v>
      </c>
      <c r="AW18" s="147">
        <v>4</v>
      </c>
      <c r="AX18" s="147">
        <v>4</v>
      </c>
      <c r="AY18" s="148">
        <v>4</v>
      </c>
      <c r="AZ18" s="146">
        <v>4</v>
      </c>
      <c r="BA18" s="147">
        <v>4</v>
      </c>
      <c r="BB18" s="147">
        <v>4</v>
      </c>
      <c r="BC18" s="148">
        <v>4</v>
      </c>
      <c r="BD18" s="146">
        <v>4</v>
      </c>
      <c r="BE18" s="147">
        <v>4</v>
      </c>
      <c r="BF18" s="147">
        <v>4</v>
      </c>
      <c r="BG18" s="148">
        <v>4</v>
      </c>
      <c r="BH18" s="155"/>
      <c r="BI18" s="156"/>
      <c r="BJ18" s="156"/>
      <c r="BK18" s="157"/>
      <c r="BL18" s="149"/>
      <c r="BM18" s="150"/>
      <c r="BN18" s="150"/>
      <c r="BO18" s="151"/>
      <c r="BP18" s="77"/>
      <c r="BQ18" s="78"/>
    </row>
    <row r="19" spans="1:69" s="6" customFormat="1" ht="15.75" thickBot="1" x14ac:dyDescent="0.3">
      <c r="A19" s="275"/>
      <c r="B19" s="277"/>
      <c r="C19" s="279"/>
      <c r="D19" s="279"/>
      <c r="E19" s="279"/>
      <c r="F19" s="281"/>
      <c r="G19" s="281"/>
      <c r="H19" s="283"/>
      <c r="I19" s="285"/>
      <c r="J19" s="302"/>
      <c r="K19" s="320"/>
      <c r="L19" s="316"/>
      <c r="M19" s="271"/>
      <c r="N19" s="271"/>
      <c r="O19" s="48" t="s">
        <v>27</v>
      </c>
      <c r="P19" s="228"/>
      <c r="Q19" s="136"/>
      <c r="R19" s="136"/>
      <c r="S19" s="139"/>
      <c r="T19" s="228"/>
      <c r="U19" s="136"/>
      <c r="V19" s="136"/>
      <c r="W19" s="139"/>
      <c r="X19" s="228"/>
      <c r="Y19" s="138"/>
      <c r="Z19" s="138"/>
      <c r="AA19" s="165"/>
      <c r="AB19" s="164"/>
      <c r="AC19" s="138"/>
      <c r="AD19" s="138"/>
      <c r="AE19" s="165"/>
      <c r="AF19" s="164"/>
      <c r="AG19" s="138"/>
      <c r="AH19" s="138"/>
      <c r="AI19" s="165"/>
      <c r="AJ19" s="164"/>
      <c r="AK19" s="138"/>
      <c r="AL19" s="138"/>
      <c r="AM19" s="165"/>
      <c r="AN19" s="164"/>
      <c r="AO19" s="138"/>
      <c r="AP19" s="138"/>
      <c r="AQ19" s="165"/>
      <c r="AR19" s="164"/>
      <c r="AS19" s="138"/>
      <c r="AT19" s="138"/>
      <c r="AU19" s="165"/>
      <c r="AV19" s="164"/>
      <c r="AW19" s="138"/>
      <c r="AX19" s="138"/>
      <c r="AY19" s="165"/>
      <c r="AZ19" s="164"/>
      <c r="BA19" s="138"/>
      <c r="BB19" s="138"/>
      <c r="BC19" s="165"/>
      <c r="BD19" s="164"/>
      <c r="BE19" s="138"/>
      <c r="BF19" s="138"/>
      <c r="BG19" s="165"/>
      <c r="BH19" s="164"/>
      <c r="BI19" s="138"/>
      <c r="BJ19" s="138"/>
      <c r="BK19" s="165"/>
      <c r="BL19" s="152"/>
      <c r="BM19" s="153"/>
      <c r="BN19" s="153"/>
      <c r="BO19" s="154"/>
      <c r="BP19" s="82"/>
      <c r="BQ19" s="83"/>
    </row>
    <row r="20" spans="1:69" ht="17.25" customHeight="1" x14ac:dyDescent="0.25">
      <c r="A20" s="274" t="s">
        <v>107</v>
      </c>
      <c r="B20" s="276" t="s">
        <v>117</v>
      </c>
      <c r="C20" s="278" t="s">
        <v>25</v>
      </c>
      <c r="D20" s="278" t="s">
        <v>119</v>
      </c>
      <c r="E20" s="278">
        <v>1</v>
      </c>
      <c r="F20" s="280">
        <f>G20</f>
        <v>18576.565963212404</v>
      </c>
      <c r="G20" s="280">
        <f>(((1329645+170471+581026+15864771)*1.011)*1.004*1.0198)/1000</f>
        <v>18576.565963212404</v>
      </c>
      <c r="H20" s="282">
        <f>G20/G76</f>
        <v>6.4309937305749493E-2</v>
      </c>
      <c r="I20" s="284">
        <v>0</v>
      </c>
      <c r="J20" s="301">
        <f t="shared" ref="J20" si="2">I20*H20</f>
        <v>0</v>
      </c>
      <c r="K20" s="319">
        <v>45047</v>
      </c>
      <c r="L20" s="323">
        <v>45168</v>
      </c>
      <c r="M20" s="270"/>
      <c r="N20" s="270"/>
      <c r="O20" s="47" t="s">
        <v>26</v>
      </c>
      <c r="P20" s="226"/>
      <c r="Q20" s="227"/>
      <c r="R20" s="227"/>
      <c r="S20" s="230"/>
      <c r="T20" s="226"/>
      <c r="U20" s="227"/>
      <c r="V20" s="227"/>
      <c r="W20" s="230"/>
      <c r="X20" s="226"/>
      <c r="Y20" s="156"/>
      <c r="Z20" s="156"/>
      <c r="AA20" s="157"/>
      <c r="AB20" s="155"/>
      <c r="AC20" s="156"/>
      <c r="AD20" s="156"/>
      <c r="AE20" s="157"/>
      <c r="AF20" s="155"/>
      <c r="AG20" s="156"/>
      <c r="AH20" s="156"/>
      <c r="AI20" s="157"/>
      <c r="AJ20" s="155"/>
      <c r="AK20" s="156"/>
      <c r="AL20" s="156"/>
      <c r="AM20" s="157"/>
      <c r="AN20" s="155"/>
      <c r="AO20" s="156"/>
      <c r="AP20" s="156"/>
      <c r="AQ20" s="157"/>
      <c r="AR20" s="155"/>
      <c r="AS20" s="156"/>
      <c r="AT20" s="156"/>
      <c r="AU20" s="157"/>
      <c r="AV20" s="146">
        <v>6</v>
      </c>
      <c r="AW20" s="147">
        <v>8</v>
      </c>
      <c r="AX20" s="147">
        <v>10</v>
      </c>
      <c r="AY20" s="148">
        <v>12</v>
      </c>
      <c r="AZ20" s="146">
        <v>14</v>
      </c>
      <c r="BA20" s="147">
        <v>16</v>
      </c>
      <c r="BB20" s="147">
        <v>18</v>
      </c>
      <c r="BC20" s="148">
        <v>18</v>
      </c>
      <c r="BD20" s="146">
        <v>18</v>
      </c>
      <c r="BE20" s="147">
        <v>18</v>
      </c>
      <c r="BF20" s="147">
        <v>18</v>
      </c>
      <c r="BG20" s="148">
        <v>18</v>
      </c>
      <c r="BH20" s="146">
        <v>18</v>
      </c>
      <c r="BI20" s="147">
        <v>18</v>
      </c>
      <c r="BJ20" s="147">
        <v>18</v>
      </c>
      <c r="BK20" s="148">
        <v>18</v>
      </c>
      <c r="BL20" s="149"/>
      <c r="BM20" s="150"/>
      <c r="BN20" s="150"/>
      <c r="BO20" s="151"/>
      <c r="BP20" s="84"/>
      <c r="BQ20" s="85"/>
    </row>
    <row r="21" spans="1:69" s="6" customFormat="1" ht="15.75" thickBot="1" x14ac:dyDescent="0.3">
      <c r="A21" s="275"/>
      <c r="B21" s="277"/>
      <c r="C21" s="279"/>
      <c r="D21" s="279"/>
      <c r="E21" s="279"/>
      <c r="F21" s="281"/>
      <c r="G21" s="281"/>
      <c r="H21" s="283"/>
      <c r="I21" s="285"/>
      <c r="J21" s="302"/>
      <c r="K21" s="320"/>
      <c r="L21" s="324"/>
      <c r="M21" s="271"/>
      <c r="N21" s="271"/>
      <c r="O21" s="48" t="s">
        <v>27</v>
      </c>
      <c r="P21" s="228"/>
      <c r="Q21" s="136"/>
      <c r="R21" s="136"/>
      <c r="S21" s="139"/>
      <c r="T21" s="228"/>
      <c r="U21" s="136"/>
      <c r="V21" s="136"/>
      <c r="W21" s="139"/>
      <c r="X21" s="228"/>
      <c r="Y21" s="138"/>
      <c r="Z21" s="138"/>
      <c r="AA21" s="165"/>
      <c r="AB21" s="164"/>
      <c r="AC21" s="138"/>
      <c r="AD21" s="138"/>
      <c r="AE21" s="165"/>
      <c r="AF21" s="164"/>
      <c r="AG21" s="138"/>
      <c r="AH21" s="138"/>
      <c r="AI21" s="165"/>
      <c r="AJ21" s="164"/>
      <c r="AK21" s="138"/>
      <c r="AL21" s="138"/>
      <c r="AM21" s="165"/>
      <c r="AN21" s="164"/>
      <c r="AO21" s="138"/>
      <c r="AP21" s="138"/>
      <c r="AQ21" s="165"/>
      <c r="AR21" s="164"/>
      <c r="AS21" s="138"/>
      <c r="AT21" s="138"/>
      <c r="AU21" s="165"/>
      <c r="AV21" s="164"/>
      <c r="AW21" s="138"/>
      <c r="AX21" s="138"/>
      <c r="AY21" s="165"/>
      <c r="AZ21" s="164"/>
      <c r="BA21" s="138"/>
      <c r="BB21" s="138"/>
      <c r="BC21" s="165"/>
      <c r="BD21" s="164"/>
      <c r="BE21" s="138"/>
      <c r="BF21" s="138"/>
      <c r="BG21" s="165"/>
      <c r="BH21" s="164"/>
      <c r="BI21" s="138"/>
      <c r="BJ21" s="138"/>
      <c r="BK21" s="165"/>
      <c r="BL21" s="152"/>
      <c r="BM21" s="153"/>
      <c r="BN21" s="153"/>
      <c r="BO21" s="154"/>
      <c r="BP21" s="82"/>
      <c r="BQ21" s="83"/>
    </row>
    <row r="22" spans="1:69" x14ac:dyDescent="0.25">
      <c r="A22" s="274" t="s">
        <v>76</v>
      </c>
      <c r="B22" s="276" t="s">
        <v>116</v>
      </c>
      <c r="C22" s="278" t="s">
        <v>25</v>
      </c>
      <c r="D22" s="278" t="s">
        <v>119</v>
      </c>
      <c r="E22" s="278">
        <v>1</v>
      </c>
      <c r="F22" s="280">
        <f>G22</f>
        <v>6841.7940059594384</v>
      </c>
      <c r="G22" s="280">
        <f>(((882252+608258+4293228+825785)*1.011)*1.004*1.0198)/1000</f>
        <v>6841.7940059594384</v>
      </c>
      <c r="H22" s="282">
        <f>G22/G76</f>
        <v>2.3685504869599524E-2</v>
      </c>
      <c r="I22" s="284">
        <v>0</v>
      </c>
      <c r="J22" s="301">
        <f t="shared" ref="J22" si="3">I22*H22</f>
        <v>0</v>
      </c>
      <c r="K22" s="319">
        <v>45139</v>
      </c>
      <c r="L22" s="323">
        <v>45168</v>
      </c>
      <c r="M22" s="270"/>
      <c r="N22" s="270"/>
      <c r="O22" s="47" t="s">
        <v>26</v>
      </c>
      <c r="P22" s="226"/>
      <c r="Q22" s="227"/>
      <c r="R22" s="227"/>
      <c r="S22" s="230"/>
      <c r="T22" s="226"/>
      <c r="U22" s="227"/>
      <c r="V22" s="227"/>
      <c r="W22" s="230"/>
      <c r="X22" s="226"/>
      <c r="Y22" s="156"/>
      <c r="Z22" s="156"/>
      <c r="AA22" s="157"/>
      <c r="AB22" s="155"/>
      <c r="AC22" s="156"/>
      <c r="AD22" s="156"/>
      <c r="AE22" s="157"/>
      <c r="AF22" s="155"/>
      <c r="AG22" s="156"/>
      <c r="AH22" s="156"/>
      <c r="AI22" s="157"/>
      <c r="AJ22" s="155"/>
      <c r="AK22" s="156"/>
      <c r="AL22" s="156"/>
      <c r="AM22" s="157"/>
      <c r="AN22" s="155"/>
      <c r="AO22" s="156"/>
      <c r="AP22" s="156"/>
      <c r="AQ22" s="157"/>
      <c r="AR22" s="155"/>
      <c r="AS22" s="156"/>
      <c r="AT22" s="156"/>
      <c r="AU22" s="157"/>
      <c r="AV22" s="155"/>
      <c r="AW22" s="156"/>
      <c r="AX22" s="156"/>
      <c r="AY22" s="157"/>
      <c r="AZ22" s="155"/>
      <c r="BA22" s="156"/>
      <c r="BB22" s="156"/>
      <c r="BC22" s="157"/>
      <c r="BD22" s="155"/>
      <c r="BE22" s="156"/>
      <c r="BF22" s="156"/>
      <c r="BG22" s="157"/>
      <c r="BH22" s="146">
        <v>3</v>
      </c>
      <c r="BI22" s="147">
        <v>3</v>
      </c>
      <c r="BJ22" s="147">
        <v>3</v>
      </c>
      <c r="BK22" s="148">
        <v>3</v>
      </c>
      <c r="BL22" s="149"/>
      <c r="BM22" s="150"/>
      <c r="BN22" s="150"/>
      <c r="BO22" s="151"/>
      <c r="BP22" s="84"/>
      <c r="BQ22" s="85"/>
    </row>
    <row r="23" spans="1:69" s="6" customFormat="1" ht="15.75" thickBot="1" x14ac:dyDescent="0.3">
      <c r="A23" s="275"/>
      <c r="B23" s="277"/>
      <c r="C23" s="279"/>
      <c r="D23" s="279"/>
      <c r="E23" s="279"/>
      <c r="F23" s="281"/>
      <c r="G23" s="281"/>
      <c r="H23" s="283"/>
      <c r="I23" s="285"/>
      <c r="J23" s="302"/>
      <c r="K23" s="320"/>
      <c r="L23" s="324"/>
      <c r="M23" s="271"/>
      <c r="N23" s="271"/>
      <c r="O23" s="48" t="s">
        <v>27</v>
      </c>
      <c r="P23" s="228"/>
      <c r="Q23" s="136"/>
      <c r="R23" s="136"/>
      <c r="S23" s="139"/>
      <c r="T23" s="228"/>
      <c r="U23" s="136"/>
      <c r="V23" s="136"/>
      <c r="W23" s="139"/>
      <c r="X23" s="228"/>
      <c r="Y23" s="138"/>
      <c r="Z23" s="138"/>
      <c r="AA23" s="165"/>
      <c r="AB23" s="164"/>
      <c r="AC23" s="138"/>
      <c r="AD23" s="138"/>
      <c r="AE23" s="165"/>
      <c r="AF23" s="164"/>
      <c r="AG23" s="138"/>
      <c r="AH23" s="138"/>
      <c r="AI23" s="165"/>
      <c r="AJ23" s="164"/>
      <c r="AK23" s="138"/>
      <c r="AL23" s="138"/>
      <c r="AM23" s="165"/>
      <c r="AN23" s="164"/>
      <c r="AO23" s="138"/>
      <c r="AP23" s="138"/>
      <c r="AQ23" s="165"/>
      <c r="AR23" s="164"/>
      <c r="AS23" s="138"/>
      <c r="AT23" s="138"/>
      <c r="AU23" s="165"/>
      <c r="AV23" s="164"/>
      <c r="AW23" s="138"/>
      <c r="AX23" s="138"/>
      <c r="AY23" s="165"/>
      <c r="AZ23" s="164"/>
      <c r="BA23" s="138"/>
      <c r="BB23" s="138"/>
      <c r="BC23" s="165"/>
      <c r="BD23" s="164"/>
      <c r="BE23" s="138"/>
      <c r="BF23" s="138"/>
      <c r="BG23" s="165"/>
      <c r="BH23" s="164"/>
      <c r="BI23" s="138"/>
      <c r="BJ23" s="138"/>
      <c r="BK23" s="165"/>
      <c r="BL23" s="152"/>
      <c r="BM23" s="153"/>
      <c r="BN23" s="153"/>
      <c r="BO23" s="154"/>
      <c r="BP23" s="82"/>
      <c r="BQ23" s="83"/>
    </row>
    <row r="24" spans="1:69" x14ac:dyDescent="0.25">
      <c r="A24" s="274" t="s">
        <v>77</v>
      </c>
      <c r="B24" s="317" t="s">
        <v>114</v>
      </c>
      <c r="C24" s="342" t="s">
        <v>25</v>
      </c>
      <c r="D24" s="278" t="s">
        <v>119</v>
      </c>
      <c r="E24" s="278">
        <v>1</v>
      </c>
      <c r="F24" s="280">
        <f>G24</f>
        <v>43410.913380639402</v>
      </c>
      <c r="G24" s="280">
        <f>(((16352239+6921826+18544560+118538)*1.011)*1.004*1.0198)/1000</f>
        <v>43410.913380639402</v>
      </c>
      <c r="H24" s="282">
        <f>G24/G76</f>
        <v>0.15028359511778516</v>
      </c>
      <c r="I24" s="284">
        <v>0</v>
      </c>
      <c r="J24" s="301">
        <f t="shared" ref="J24" si="4">I24*H24</f>
        <v>0</v>
      </c>
      <c r="K24" s="319">
        <v>45017</v>
      </c>
      <c r="L24" s="323">
        <v>45168</v>
      </c>
      <c r="M24" s="372"/>
      <c r="N24" s="372"/>
      <c r="O24" s="49" t="s">
        <v>26</v>
      </c>
      <c r="P24" s="226"/>
      <c r="Q24" s="227"/>
      <c r="R24" s="227"/>
      <c r="S24" s="230"/>
      <c r="T24" s="226"/>
      <c r="U24" s="227"/>
      <c r="V24" s="227"/>
      <c r="W24" s="230"/>
      <c r="X24" s="226"/>
      <c r="Y24" s="156"/>
      <c r="Z24" s="156"/>
      <c r="AA24" s="157"/>
      <c r="AB24" s="155"/>
      <c r="AC24" s="156"/>
      <c r="AD24" s="156"/>
      <c r="AE24" s="157"/>
      <c r="AF24" s="155"/>
      <c r="AG24" s="156"/>
      <c r="AH24" s="156"/>
      <c r="AI24" s="157"/>
      <c r="AJ24" s="155"/>
      <c r="AK24" s="156"/>
      <c r="AL24" s="156"/>
      <c r="AM24" s="157"/>
      <c r="AN24" s="155"/>
      <c r="AO24" s="156"/>
      <c r="AP24" s="156"/>
      <c r="AQ24" s="157"/>
      <c r="AR24" s="146">
        <v>4</v>
      </c>
      <c r="AS24" s="147">
        <v>4</v>
      </c>
      <c r="AT24" s="147">
        <v>4</v>
      </c>
      <c r="AU24" s="148">
        <v>4</v>
      </c>
      <c r="AV24" s="146">
        <v>6</v>
      </c>
      <c r="AW24" s="147">
        <v>6</v>
      </c>
      <c r="AX24" s="147">
        <v>6</v>
      </c>
      <c r="AY24" s="148">
        <v>6</v>
      </c>
      <c r="AZ24" s="146">
        <v>6</v>
      </c>
      <c r="BA24" s="147">
        <v>6</v>
      </c>
      <c r="BB24" s="147">
        <v>6</v>
      </c>
      <c r="BC24" s="148">
        <v>6</v>
      </c>
      <c r="BD24" s="146">
        <v>6</v>
      </c>
      <c r="BE24" s="147">
        <v>6</v>
      </c>
      <c r="BF24" s="147">
        <v>6</v>
      </c>
      <c r="BG24" s="148">
        <v>6</v>
      </c>
      <c r="BH24" s="146">
        <v>6</v>
      </c>
      <c r="BI24" s="147">
        <v>6</v>
      </c>
      <c r="BJ24" s="147">
        <v>6</v>
      </c>
      <c r="BK24" s="148">
        <v>6</v>
      </c>
      <c r="BL24" s="149"/>
      <c r="BM24" s="150"/>
      <c r="BN24" s="150"/>
      <c r="BO24" s="151"/>
      <c r="BP24" s="77"/>
      <c r="BQ24" s="78"/>
    </row>
    <row r="25" spans="1:69" s="6" customFormat="1" ht="15.75" thickBot="1" x14ac:dyDescent="0.3">
      <c r="A25" s="275"/>
      <c r="B25" s="318"/>
      <c r="C25" s="343"/>
      <c r="D25" s="279"/>
      <c r="E25" s="279"/>
      <c r="F25" s="281"/>
      <c r="G25" s="281"/>
      <c r="H25" s="283"/>
      <c r="I25" s="285"/>
      <c r="J25" s="302"/>
      <c r="K25" s="320"/>
      <c r="L25" s="324"/>
      <c r="M25" s="373"/>
      <c r="N25" s="373"/>
      <c r="O25" s="50" t="s">
        <v>27</v>
      </c>
      <c r="P25" s="228"/>
      <c r="Q25" s="136"/>
      <c r="R25" s="136"/>
      <c r="S25" s="139"/>
      <c r="T25" s="228"/>
      <c r="U25" s="136"/>
      <c r="V25" s="136"/>
      <c r="W25" s="139"/>
      <c r="X25" s="228"/>
      <c r="Y25" s="138"/>
      <c r="Z25" s="138"/>
      <c r="AA25" s="165"/>
      <c r="AB25" s="164"/>
      <c r="AC25" s="138"/>
      <c r="AD25" s="138"/>
      <c r="AE25" s="165"/>
      <c r="AF25" s="164"/>
      <c r="AG25" s="138"/>
      <c r="AH25" s="138"/>
      <c r="AI25" s="165"/>
      <c r="AJ25" s="164"/>
      <c r="AK25" s="138"/>
      <c r="AL25" s="138"/>
      <c r="AM25" s="165"/>
      <c r="AN25" s="164"/>
      <c r="AO25" s="138"/>
      <c r="AP25" s="138"/>
      <c r="AQ25" s="165"/>
      <c r="AR25" s="164"/>
      <c r="AS25" s="138"/>
      <c r="AT25" s="138"/>
      <c r="AU25" s="165"/>
      <c r="AV25" s="164"/>
      <c r="AW25" s="138"/>
      <c r="AX25" s="138"/>
      <c r="AY25" s="165"/>
      <c r="AZ25" s="164"/>
      <c r="BA25" s="138"/>
      <c r="BB25" s="138"/>
      <c r="BC25" s="165"/>
      <c r="BD25" s="164"/>
      <c r="BE25" s="138"/>
      <c r="BF25" s="138"/>
      <c r="BG25" s="165"/>
      <c r="BH25" s="164"/>
      <c r="BI25" s="138"/>
      <c r="BJ25" s="138"/>
      <c r="BK25" s="165"/>
      <c r="BL25" s="152"/>
      <c r="BM25" s="153"/>
      <c r="BN25" s="153"/>
      <c r="BO25" s="154"/>
      <c r="BP25" s="82"/>
      <c r="BQ25" s="83"/>
    </row>
    <row r="26" spans="1:69" s="6" customFormat="1" x14ac:dyDescent="0.25">
      <c r="A26" s="274" t="s">
        <v>78</v>
      </c>
      <c r="B26" s="276" t="s">
        <v>111</v>
      </c>
      <c r="C26" s="278" t="s">
        <v>25</v>
      </c>
      <c r="D26" s="278" t="s">
        <v>119</v>
      </c>
      <c r="E26" s="278">
        <v>1</v>
      </c>
      <c r="F26" s="280">
        <f>G26</f>
        <v>11124.754169999998</v>
      </c>
      <c r="G26" s="280">
        <f>(7706877.5+3144794.88+273081.79)/1000</f>
        <v>11124.754169999998</v>
      </c>
      <c r="H26" s="282">
        <f>G26/G76</f>
        <v>3.8512620934965151E-2</v>
      </c>
      <c r="I26" s="284">
        <v>0</v>
      </c>
      <c r="J26" s="301">
        <f t="shared" ref="J26" si="5">I26*H26</f>
        <v>0</v>
      </c>
      <c r="K26" s="319">
        <v>45017</v>
      </c>
      <c r="L26" s="323">
        <v>45168</v>
      </c>
      <c r="M26" s="270"/>
      <c r="N26" s="270"/>
      <c r="O26" s="47" t="s">
        <v>26</v>
      </c>
      <c r="P26" s="226"/>
      <c r="Q26" s="227"/>
      <c r="R26" s="227"/>
      <c r="S26" s="230"/>
      <c r="T26" s="226"/>
      <c r="U26" s="227"/>
      <c r="V26" s="227"/>
      <c r="W26" s="230"/>
      <c r="X26" s="226"/>
      <c r="Y26" s="156"/>
      <c r="Z26" s="156"/>
      <c r="AA26" s="157"/>
      <c r="AB26" s="155"/>
      <c r="AC26" s="156"/>
      <c r="AD26" s="156"/>
      <c r="AE26" s="157"/>
      <c r="AF26" s="155"/>
      <c r="AG26" s="156"/>
      <c r="AH26" s="156"/>
      <c r="AI26" s="157"/>
      <c r="AJ26" s="155"/>
      <c r="AK26" s="156"/>
      <c r="AL26" s="156"/>
      <c r="AM26" s="157"/>
      <c r="AN26" s="155"/>
      <c r="AO26" s="156"/>
      <c r="AP26" s="156"/>
      <c r="AQ26" s="157"/>
      <c r="AR26" s="146">
        <v>4</v>
      </c>
      <c r="AS26" s="147">
        <v>4</v>
      </c>
      <c r="AT26" s="147">
        <v>4</v>
      </c>
      <c r="AU26" s="148">
        <v>4</v>
      </c>
      <c r="AV26" s="146">
        <v>6</v>
      </c>
      <c r="AW26" s="147">
        <v>6</v>
      </c>
      <c r="AX26" s="147">
        <v>6</v>
      </c>
      <c r="AY26" s="148">
        <v>6</v>
      </c>
      <c r="AZ26" s="146">
        <v>6</v>
      </c>
      <c r="BA26" s="147">
        <v>6</v>
      </c>
      <c r="BB26" s="147">
        <v>6</v>
      </c>
      <c r="BC26" s="148">
        <v>6</v>
      </c>
      <c r="BD26" s="146">
        <v>6</v>
      </c>
      <c r="BE26" s="147">
        <v>6</v>
      </c>
      <c r="BF26" s="147">
        <v>6</v>
      </c>
      <c r="BG26" s="148">
        <v>6</v>
      </c>
      <c r="BH26" s="146">
        <v>6</v>
      </c>
      <c r="BI26" s="147">
        <v>6</v>
      </c>
      <c r="BJ26" s="147">
        <v>6</v>
      </c>
      <c r="BK26" s="148">
        <v>6</v>
      </c>
      <c r="BL26" s="149"/>
      <c r="BM26" s="150"/>
      <c r="BN26" s="150"/>
      <c r="BO26" s="151"/>
      <c r="BP26" s="86"/>
      <c r="BQ26" s="87"/>
    </row>
    <row r="27" spans="1:69" s="6" customFormat="1" ht="27" customHeight="1" thickBot="1" x14ac:dyDescent="0.3">
      <c r="A27" s="275"/>
      <c r="B27" s="277"/>
      <c r="C27" s="279"/>
      <c r="D27" s="279"/>
      <c r="E27" s="279"/>
      <c r="F27" s="281"/>
      <c r="G27" s="281"/>
      <c r="H27" s="283"/>
      <c r="I27" s="285"/>
      <c r="J27" s="302"/>
      <c r="K27" s="320"/>
      <c r="L27" s="324"/>
      <c r="M27" s="271"/>
      <c r="N27" s="271"/>
      <c r="O27" s="48" t="s">
        <v>27</v>
      </c>
      <c r="P27" s="228"/>
      <c r="Q27" s="136"/>
      <c r="R27" s="136"/>
      <c r="S27" s="139"/>
      <c r="T27" s="228"/>
      <c r="U27" s="136"/>
      <c r="V27" s="136"/>
      <c r="W27" s="139"/>
      <c r="X27" s="228"/>
      <c r="Y27" s="138"/>
      <c r="Z27" s="138"/>
      <c r="AA27" s="165"/>
      <c r="AB27" s="164"/>
      <c r="AC27" s="138"/>
      <c r="AD27" s="138"/>
      <c r="AE27" s="165"/>
      <c r="AF27" s="164"/>
      <c r="AG27" s="138"/>
      <c r="AH27" s="138"/>
      <c r="AI27" s="165"/>
      <c r="AJ27" s="164"/>
      <c r="AK27" s="138"/>
      <c r="AL27" s="138"/>
      <c r="AM27" s="165"/>
      <c r="AN27" s="164"/>
      <c r="AO27" s="138"/>
      <c r="AP27" s="138"/>
      <c r="AQ27" s="165"/>
      <c r="AR27" s="164"/>
      <c r="AS27" s="138"/>
      <c r="AT27" s="138"/>
      <c r="AU27" s="165"/>
      <c r="AV27" s="164"/>
      <c r="AW27" s="138"/>
      <c r="AX27" s="138"/>
      <c r="AY27" s="165"/>
      <c r="AZ27" s="164"/>
      <c r="BA27" s="138"/>
      <c r="BB27" s="138"/>
      <c r="BC27" s="165"/>
      <c r="BD27" s="164"/>
      <c r="BE27" s="138"/>
      <c r="BF27" s="138"/>
      <c r="BG27" s="165"/>
      <c r="BH27" s="164"/>
      <c r="BI27" s="138"/>
      <c r="BJ27" s="138"/>
      <c r="BK27" s="165"/>
      <c r="BL27" s="152"/>
      <c r="BM27" s="153"/>
      <c r="BN27" s="153"/>
      <c r="BO27" s="154"/>
      <c r="BP27" s="88"/>
      <c r="BQ27" s="89"/>
    </row>
    <row r="28" spans="1:69" s="6" customFormat="1" x14ac:dyDescent="0.25">
      <c r="A28" s="274" t="s">
        <v>79</v>
      </c>
      <c r="B28" s="276" t="s">
        <v>109</v>
      </c>
      <c r="C28" s="278" t="s">
        <v>25</v>
      </c>
      <c r="D28" s="278" t="s">
        <v>119</v>
      </c>
      <c r="E28" s="278">
        <v>1</v>
      </c>
      <c r="F28" s="280">
        <f>G28</f>
        <v>8781.4361800000006</v>
      </c>
      <c r="G28" s="280">
        <f>(8702505.04+78931.14)/1000</f>
        <v>8781.4361800000006</v>
      </c>
      <c r="H28" s="282">
        <f>G28/G76</f>
        <v>3.0400323251810652E-2</v>
      </c>
      <c r="I28" s="284">
        <v>0</v>
      </c>
      <c r="J28" s="301">
        <f t="shared" ref="J28" si="6">I28*H28</f>
        <v>0</v>
      </c>
      <c r="K28" s="319">
        <v>45047</v>
      </c>
      <c r="L28" s="323">
        <v>45168</v>
      </c>
      <c r="M28" s="270"/>
      <c r="N28" s="270"/>
      <c r="O28" s="47" t="s">
        <v>26</v>
      </c>
      <c r="P28" s="226"/>
      <c r="Q28" s="227"/>
      <c r="R28" s="227"/>
      <c r="S28" s="230"/>
      <c r="T28" s="226"/>
      <c r="U28" s="227"/>
      <c r="V28" s="227"/>
      <c r="W28" s="230"/>
      <c r="X28" s="226"/>
      <c r="Y28" s="156"/>
      <c r="Z28" s="156"/>
      <c r="AA28" s="157"/>
      <c r="AB28" s="155"/>
      <c r="AC28" s="156"/>
      <c r="AD28" s="156"/>
      <c r="AE28" s="157"/>
      <c r="AF28" s="155"/>
      <c r="AG28" s="156"/>
      <c r="AH28" s="156"/>
      <c r="AI28" s="157"/>
      <c r="AJ28" s="155"/>
      <c r="AK28" s="156"/>
      <c r="AL28" s="156"/>
      <c r="AM28" s="157"/>
      <c r="AN28" s="155"/>
      <c r="AO28" s="156"/>
      <c r="AP28" s="156"/>
      <c r="AQ28" s="157"/>
      <c r="AR28" s="155"/>
      <c r="AS28" s="156"/>
      <c r="AT28" s="156"/>
      <c r="AU28" s="157"/>
      <c r="AV28" s="146">
        <v>2</v>
      </c>
      <c r="AW28" s="147">
        <v>2</v>
      </c>
      <c r="AX28" s="147">
        <v>2</v>
      </c>
      <c r="AY28" s="148">
        <v>2</v>
      </c>
      <c r="AZ28" s="146">
        <v>3</v>
      </c>
      <c r="BA28" s="147">
        <v>3</v>
      </c>
      <c r="BB28" s="147">
        <v>3</v>
      </c>
      <c r="BC28" s="148">
        <v>3</v>
      </c>
      <c r="BD28" s="146">
        <v>3</v>
      </c>
      <c r="BE28" s="147">
        <v>3</v>
      </c>
      <c r="BF28" s="147">
        <v>3</v>
      </c>
      <c r="BG28" s="148">
        <v>3</v>
      </c>
      <c r="BH28" s="146">
        <v>3</v>
      </c>
      <c r="BI28" s="147">
        <v>3</v>
      </c>
      <c r="BJ28" s="147">
        <v>3</v>
      </c>
      <c r="BK28" s="148">
        <v>3</v>
      </c>
      <c r="BL28" s="149"/>
      <c r="BM28" s="150"/>
      <c r="BN28" s="150"/>
      <c r="BO28" s="151"/>
      <c r="BP28" s="86"/>
      <c r="BQ28" s="87"/>
    </row>
    <row r="29" spans="1:69" s="6" customFormat="1" ht="15.75" thickBot="1" x14ac:dyDescent="0.3">
      <c r="A29" s="275"/>
      <c r="B29" s="277"/>
      <c r="C29" s="279"/>
      <c r="D29" s="279"/>
      <c r="E29" s="279"/>
      <c r="F29" s="281"/>
      <c r="G29" s="281"/>
      <c r="H29" s="283"/>
      <c r="I29" s="285"/>
      <c r="J29" s="302"/>
      <c r="K29" s="320"/>
      <c r="L29" s="324"/>
      <c r="M29" s="271"/>
      <c r="N29" s="271"/>
      <c r="O29" s="48" t="s">
        <v>27</v>
      </c>
      <c r="P29" s="228"/>
      <c r="Q29" s="136"/>
      <c r="R29" s="136"/>
      <c r="S29" s="139"/>
      <c r="T29" s="228"/>
      <c r="U29" s="136"/>
      <c r="V29" s="136"/>
      <c r="W29" s="139"/>
      <c r="X29" s="228"/>
      <c r="Y29" s="138"/>
      <c r="Z29" s="138"/>
      <c r="AA29" s="165"/>
      <c r="AB29" s="164"/>
      <c r="AC29" s="138"/>
      <c r="AD29" s="138"/>
      <c r="AE29" s="165"/>
      <c r="AF29" s="164"/>
      <c r="AG29" s="138"/>
      <c r="AH29" s="138"/>
      <c r="AI29" s="165"/>
      <c r="AJ29" s="164"/>
      <c r="AK29" s="138"/>
      <c r="AL29" s="138"/>
      <c r="AM29" s="165"/>
      <c r="AN29" s="164"/>
      <c r="AO29" s="138"/>
      <c r="AP29" s="138"/>
      <c r="AQ29" s="165"/>
      <c r="AR29" s="164"/>
      <c r="AS29" s="138"/>
      <c r="AT29" s="138"/>
      <c r="AU29" s="165"/>
      <c r="AV29" s="164"/>
      <c r="AW29" s="138"/>
      <c r="AX29" s="138"/>
      <c r="AY29" s="165"/>
      <c r="AZ29" s="164"/>
      <c r="BA29" s="138"/>
      <c r="BB29" s="138"/>
      <c r="BC29" s="165"/>
      <c r="BD29" s="164"/>
      <c r="BE29" s="138"/>
      <c r="BF29" s="138"/>
      <c r="BG29" s="165"/>
      <c r="BH29" s="164"/>
      <c r="BI29" s="138"/>
      <c r="BJ29" s="138"/>
      <c r="BK29" s="165"/>
      <c r="BL29" s="152"/>
      <c r="BM29" s="153"/>
      <c r="BN29" s="153"/>
      <c r="BO29" s="154"/>
      <c r="BP29" s="88"/>
      <c r="BQ29" s="89"/>
    </row>
    <row r="30" spans="1:69" x14ac:dyDescent="0.25">
      <c r="A30" s="274" t="s">
        <v>80</v>
      </c>
      <c r="B30" s="276" t="s">
        <v>65</v>
      </c>
      <c r="C30" s="278" t="s">
        <v>25</v>
      </c>
      <c r="D30" s="278" t="s">
        <v>119</v>
      </c>
      <c r="E30" s="278">
        <v>1</v>
      </c>
      <c r="F30" s="280">
        <f>G30</f>
        <v>1537.4034299999998</v>
      </c>
      <c r="G30" s="280">
        <f>1537403.43/1000</f>
        <v>1537.4034299999998</v>
      </c>
      <c r="H30" s="282">
        <f>G30/G76</f>
        <v>5.3223140591613849E-3</v>
      </c>
      <c r="I30" s="284">
        <v>0</v>
      </c>
      <c r="J30" s="301">
        <f t="shared" ref="J30" si="7">I30*H30</f>
        <v>0</v>
      </c>
      <c r="K30" s="319">
        <v>45108</v>
      </c>
      <c r="L30" s="323">
        <v>45168</v>
      </c>
      <c r="M30" s="270"/>
      <c r="N30" s="270"/>
      <c r="O30" s="47" t="s">
        <v>26</v>
      </c>
      <c r="P30" s="226"/>
      <c r="Q30" s="227"/>
      <c r="R30" s="227"/>
      <c r="S30" s="230"/>
      <c r="T30" s="226"/>
      <c r="U30" s="227"/>
      <c r="V30" s="227"/>
      <c r="W30" s="230"/>
      <c r="X30" s="226"/>
      <c r="Y30" s="156"/>
      <c r="Z30" s="156"/>
      <c r="AA30" s="157"/>
      <c r="AB30" s="155"/>
      <c r="AC30" s="156"/>
      <c r="AD30" s="156"/>
      <c r="AE30" s="157"/>
      <c r="AF30" s="155"/>
      <c r="AG30" s="156"/>
      <c r="AH30" s="156"/>
      <c r="AI30" s="157"/>
      <c r="AJ30" s="155"/>
      <c r="AK30" s="156"/>
      <c r="AL30" s="156"/>
      <c r="AM30" s="157"/>
      <c r="AN30" s="155"/>
      <c r="AO30" s="156"/>
      <c r="AP30" s="156"/>
      <c r="AQ30" s="157"/>
      <c r="AR30" s="155"/>
      <c r="AS30" s="156"/>
      <c r="AT30" s="156"/>
      <c r="AU30" s="157"/>
      <c r="AV30" s="155"/>
      <c r="AW30" s="156"/>
      <c r="AX30" s="156"/>
      <c r="AY30" s="157"/>
      <c r="AZ30" s="155"/>
      <c r="BA30" s="156"/>
      <c r="BB30" s="156"/>
      <c r="BC30" s="157"/>
      <c r="BD30" s="146">
        <v>4</v>
      </c>
      <c r="BE30" s="147">
        <v>4</v>
      </c>
      <c r="BF30" s="147">
        <v>4</v>
      </c>
      <c r="BG30" s="148">
        <v>4</v>
      </c>
      <c r="BH30" s="146">
        <v>4</v>
      </c>
      <c r="BI30" s="147">
        <v>4</v>
      </c>
      <c r="BJ30" s="147">
        <v>4</v>
      </c>
      <c r="BK30" s="148">
        <v>4</v>
      </c>
      <c r="BL30" s="149"/>
      <c r="BM30" s="150"/>
      <c r="BN30" s="150"/>
      <c r="BO30" s="151"/>
      <c r="BP30" s="84"/>
      <c r="BQ30" s="85"/>
    </row>
    <row r="31" spans="1:69" s="6" customFormat="1" ht="15.75" thickBot="1" x14ac:dyDescent="0.3">
      <c r="A31" s="275"/>
      <c r="B31" s="277"/>
      <c r="C31" s="279"/>
      <c r="D31" s="279"/>
      <c r="E31" s="279"/>
      <c r="F31" s="281"/>
      <c r="G31" s="281"/>
      <c r="H31" s="283"/>
      <c r="I31" s="285"/>
      <c r="J31" s="302"/>
      <c r="K31" s="320"/>
      <c r="L31" s="324"/>
      <c r="M31" s="271"/>
      <c r="N31" s="271"/>
      <c r="O31" s="48" t="s">
        <v>27</v>
      </c>
      <c r="P31" s="228"/>
      <c r="Q31" s="136"/>
      <c r="R31" s="136"/>
      <c r="S31" s="139"/>
      <c r="T31" s="228"/>
      <c r="U31" s="136"/>
      <c r="V31" s="136"/>
      <c r="W31" s="139"/>
      <c r="X31" s="228"/>
      <c r="Y31" s="138"/>
      <c r="Z31" s="138"/>
      <c r="AA31" s="165"/>
      <c r="AB31" s="164"/>
      <c r="AC31" s="138"/>
      <c r="AD31" s="138"/>
      <c r="AE31" s="165"/>
      <c r="AF31" s="164"/>
      <c r="AG31" s="138"/>
      <c r="AH31" s="138"/>
      <c r="AI31" s="165"/>
      <c r="AJ31" s="164"/>
      <c r="AK31" s="138"/>
      <c r="AL31" s="138"/>
      <c r="AM31" s="165"/>
      <c r="AN31" s="164"/>
      <c r="AO31" s="138"/>
      <c r="AP31" s="138"/>
      <c r="AQ31" s="165"/>
      <c r="AR31" s="164"/>
      <c r="AS31" s="138"/>
      <c r="AT31" s="138"/>
      <c r="AU31" s="165"/>
      <c r="AV31" s="164"/>
      <c r="AW31" s="138"/>
      <c r="AX31" s="138"/>
      <c r="AY31" s="165"/>
      <c r="AZ31" s="164"/>
      <c r="BA31" s="138"/>
      <c r="BB31" s="138"/>
      <c r="BC31" s="165"/>
      <c r="BD31" s="164"/>
      <c r="BE31" s="138"/>
      <c r="BF31" s="138"/>
      <c r="BG31" s="165"/>
      <c r="BH31" s="164"/>
      <c r="BI31" s="138"/>
      <c r="BJ31" s="138"/>
      <c r="BK31" s="165"/>
      <c r="BL31" s="152"/>
      <c r="BM31" s="153"/>
      <c r="BN31" s="153"/>
      <c r="BO31" s="154"/>
      <c r="BP31" s="82"/>
      <c r="BQ31" s="83"/>
    </row>
    <row r="32" spans="1:69" x14ac:dyDescent="0.25">
      <c r="A32" s="274" t="s">
        <v>81</v>
      </c>
      <c r="B32" s="276" t="s">
        <v>110</v>
      </c>
      <c r="C32" s="278" t="s">
        <v>25</v>
      </c>
      <c r="D32" s="278" t="s">
        <v>119</v>
      </c>
      <c r="E32" s="278">
        <v>1</v>
      </c>
      <c r="F32" s="280">
        <f>G32</f>
        <v>17307.304110000001</v>
      </c>
      <c r="G32" s="280">
        <f>(15459208.65+1848095.46)/1000</f>
        <v>17307.304110000001</v>
      </c>
      <c r="H32" s="282">
        <f>G32/G76</f>
        <v>5.99158985815679E-2</v>
      </c>
      <c r="I32" s="284">
        <v>0</v>
      </c>
      <c r="J32" s="301">
        <f t="shared" ref="J32" si="8">I32*H32</f>
        <v>0</v>
      </c>
      <c r="K32" s="319">
        <v>45017</v>
      </c>
      <c r="L32" s="323">
        <v>45168</v>
      </c>
      <c r="M32" s="270"/>
      <c r="N32" s="270"/>
      <c r="O32" s="47" t="s">
        <v>26</v>
      </c>
      <c r="P32" s="226"/>
      <c r="Q32" s="227"/>
      <c r="R32" s="227"/>
      <c r="S32" s="230"/>
      <c r="T32" s="226"/>
      <c r="U32" s="227"/>
      <c r="V32" s="227"/>
      <c r="W32" s="230"/>
      <c r="X32" s="226"/>
      <c r="Y32" s="156"/>
      <c r="Z32" s="156"/>
      <c r="AA32" s="157"/>
      <c r="AB32" s="155"/>
      <c r="AC32" s="156"/>
      <c r="AD32" s="156"/>
      <c r="AE32" s="157"/>
      <c r="AF32" s="155"/>
      <c r="AG32" s="156"/>
      <c r="AH32" s="156"/>
      <c r="AI32" s="157"/>
      <c r="AJ32" s="155"/>
      <c r="AK32" s="156"/>
      <c r="AL32" s="156"/>
      <c r="AM32" s="157"/>
      <c r="AN32" s="155"/>
      <c r="AO32" s="156"/>
      <c r="AP32" s="156"/>
      <c r="AQ32" s="157"/>
      <c r="AR32" s="146">
        <v>4</v>
      </c>
      <c r="AS32" s="147">
        <v>4</v>
      </c>
      <c r="AT32" s="147">
        <v>4</v>
      </c>
      <c r="AU32" s="148">
        <v>4</v>
      </c>
      <c r="AV32" s="146">
        <v>6</v>
      </c>
      <c r="AW32" s="147">
        <v>6</v>
      </c>
      <c r="AX32" s="147">
        <v>6</v>
      </c>
      <c r="AY32" s="148">
        <v>6</v>
      </c>
      <c r="AZ32" s="146">
        <v>6</v>
      </c>
      <c r="BA32" s="147">
        <v>6</v>
      </c>
      <c r="BB32" s="147">
        <v>6</v>
      </c>
      <c r="BC32" s="148">
        <v>6</v>
      </c>
      <c r="BD32" s="146">
        <v>6</v>
      </c>
      <c r="BE32" s="147">
        <v>6</v>
      </c>
      <c r="BF32" s="147">
        <v>6</v>
      </c>
      <c r="BG32" s="148">
        <v>6</v>
      </c>
      <c r="BH32" s="146">
        <v>6</v>
      </c>
      <c r="BI32" s="147">
        <v>6</v>
      </c>
      <c r="BJ32" s="147">
        <v>6</v>
      </c>
      <c r="BK32" s="148">
        <v>6</v>
      </c>
      <c r="BL32" s="149"/>
      <c r="BM32" s="150"/>
      <c r="BN32" s="150"/>
      <c r="BO32" s="151"/>
      <c r="BP32" s="84"/>
      <c r="BQ32" s="85"/>
    </row>
    <row r="33" spans="1:69" s="6" customFormat="1" ht="15.75" thickBot="1" x14ac:dyDescent="0.3">
      <c r="A33" s="275"/>
      <c r="B33" s="277"/>
      <c r="C33" s="279"/>
      <c r="D33" s="279"/>
      <c r="E33" s="279"/>
      <c r="F33" s="281"/>
      <c r="G33" s="281"/>
      <c r="H33" s="283"/>
      <c r="I33" s="285"/>
      <c r="J33" s="302"/>
      <c r="K33" s="320"/>
      <c r="L33" s="324"/>
      <c r="M33" s="271"/>
      <c r="N33" s="271"/>
      <c r="O33" s="48" t="s">
        <v>27</v>
      </c>
      <c r="P33" s="228"/>
      <c r="Q33" s="136"/>
      <c r="R33" s="136"/>
      <c r="S33" s="139"/>
      <c r="T33" s="228"/>
      <c r="U33" s="136"/>
      <c r="V33" s="136"/>
      <c r="W33" s="139"/>
      <c r="X33" s="228"/>
      <c r="Y33" s="138"/>
      <c r="Z33" s="138"/>
      <c r="AA33" s="165"/>
      <c r="AB33" s="164"/>
      <c r="AC33" s="138"/>
      <c r="AD33" s="138"/>
      <c r="AE33" s="165"/>
      <c r="AF33" s="164"/>
      <c r="AG33" s="138"/>
      <c r="AH33" s="138"/>
      <c r="AI33" s="165"/>
      <c r="AJ33" s="164"/>
      <c r="AK33" s="138"/>
      <c r="AL33" s="138"/>
      <c r="AM33" s="165"/>
      <c r="AN33" s="164"/>
      <c r="AO33" s="138"/>
      <c r="AP33" s="138"/>
      <c r="AQ33" s="165"/>
      <c r="AR33" s="164"/>
      <c r="AS33" s="138"/>
      <c r="AT33" s="138"/>
      <c r="AU33" s="165"/>
      <c r="AV33" s="164"/>
      <c r="AW33" s="138"/>
      <c r="AX33" s="138"/>
      <c r="AY33" s="165"/>
      <c r="AZ33" s="164"/>
      <c r="BA33" s="138"/>
      <c r="BB33" s="138"/>
      <c r="BC33" s="165"/>
      <c r="BD33" s="164"/>
      <c r="BE33" s="138"/>
      <c r="BF33" s="138"/>
      <c r="BG33" s="165"/>
      <c r="BH33" s="164"/>
      <c r="BI33" s="138"/>
      <c r="BJ33" s="138"/>
      <c r="BK33" s="165"/>
      <c r="BL33" s="152"/>
      <c r="BM33" s="153"/>
      <c r="BN33" s="153"/>
      <c r="BO33" s="154"/>
      <c r="BP33" s="82"/>
      <c r="BQ33" s="83"/>
    </row>
    <row r="34" spans="1:69" s="6" customFormat="1" x14ac:dyDescent="0.25">
      <c r="A34" s="274" t="s">
        <v>82</v>
      </c>
      <c r="B34" s="276" t="s">
        <v>66</v>
      </c>
      <c r="C34" s="278" t="s">
        <v>25</v>
      </c>
      <c r="D34" s="278" t="s">
        <v>119</v>
      </c>
      <c r="E34" s="278">
        <v>1</v>
      </c>
      <c r="F34" s="280">
        <f>G34</f>
        <v>8874.3567199999998</v>
      </c>
      <c r="G34" s="280">
        <f>8874356.72/1000</f>
        <v>8874.3567199999998</v>
      </c>
      <c r="H34" s="282">
        <f>G34/G76</f>
        <v>3.0722003486664078E-2</v>
      </c>
      <c r="I34" s="284">
        <v>0</v>
      </c>
      <c r="J34" s="301">
        <f>I34*H34</f>
        <v>0</v>
      </c>
      <c r="K34" s="319">
        <v>45108</v>
      </c>
      <c r="L34" s="323">
        <v>45168</v>
      </c>
      <c r="M34" s="270"/>
      <c r="N34" s="270"/>
      <c r="O34" s="47" t="s">
        <v>26</v>
      </c>
      <c r="P34" s="226"/>
      <c r="Q34" s="227"/>
      <c r="R34" s="227"/>
      <c r="S34" s="230"/>
      <c r="T34" s="226"/>
      <c r="U34" s="227"/>
      <c r="V34" s="227"/>
      <c r="W34" s="230"/>
      <c r="X34" s="226"/>
      <c r="Y34" s="156"/>
      <c r="Z34" s="156"/>
      <c r="AA34" s="157"/>
      <c r="AB34" s="155"/>
      <c r="AC34" s="156"/>
      <c r="AD34" s="156"/>
      <c r="AE34" s="157"/>
      <c r="AF34" s="155"/>
      <c r="AG34" s="156"/>
      <c r="AH34" s="156"/>
      <c r="AI34" s="157"/>
      <c r="AJ34" s="155"/>
      <c r="AK34" s="156"/>
      <c r="AL34" s="156"/>
      <c r="AM34" s="157"/>
      <c r="AN34" s="155"/>
      <c r="AO34" s="156"/>
      <c r="AP34" s="156"/>
      <c r="AQ34" s="157"/>
      <c r="AR34" s="155"/>
      <c r="AS34" s="156"/>
      <c r="AT34" s="156"/>
      <c r="AU34" s="157"/>
      <c r="AV34" s="155"/>
      <c r="AW34" s="156"/>
      <c r="AX34" s="156"/>
      <c r="AY34" s="157"/>
      <c r="AZ34" s="155"/>
      <c r="BA34" s="156"/>
      <c r="BB34" s="156"/>
      <c r="BC34" s="157"/>
      <c r="BD34" s="146">
        <v>3</v>
      </c>
      <c r="BE34" s="147">
        <v>3</v>
      </c>
      <c r="BF34" s="147">
        <v>3</v>
      </c>
      <c r="BG34" s="148">
        <v>3</v>
      </c>
      <c r="BH34" s="146">
        <v>3</v>
      </c>
      <c r="BI34" s="147">
        <v>3</v>
      </c>
      <c r="BJ34" s="147">
        <v>3</v>
      </c>
      <c r="BK34" s="148">
        <v>3</v>
      </c>
      <c r="BL34" s="149"/>
      <c r="BM34" s="150"/>
      <c r="BN34" s="150"/>
      <c r="BO34" s="151"/>
      <c r="BP34" s="86"/>
      <c r="BQ34" s="87"/>
    </row>
    <row r="35" spans="1:69" s="6" customFormat="1" ht="15.75" thickBot="1" x14ac:dyDescent="0.3">
      <c r="A35" s="275"/>
      <c r="B35" s="277"/>
      <c r="C35" s="279"/>
      <c r="D35" s="279"/>
      <c r="E35" s="279"/>
      <c r="F35" s="281"/>
      <c r="G35" s="281"/>
      <c r="H35" s="283"/>
      <c r="I35" s="285"/>
      <c r="J35" s="302"/>
      <c r="K35" s="320"/>
      <c r="L35" s="324"/>
      <c r="M35" s="271"/>
      <c r="N35" s="271"/>
      <c r="O35" s="48" t="s">
        <v>27</v>
      </c>
      <c r="P35" s="228"/>
      <c r="Q35" s="136"/>
      <c r="R35" s="136"/>
      <c r="S35" s="139"/>
      <c r="T35" s="228"/>
      <c r="U35" s="136"/>
      <c r="V35" s="136"/>
      <c r="W35" s="139"/>
      <c r="X35" s="228"/>
      <c r="Y35" s="138"/>
      <c r="Z35" s="138"/>
      <c r="AA35" s="165"/>
      <c r="AB35" s="164"/>
      <c r="AC35" s="138"/>
      <c r="AD35" s="138"/>
      <c r="AE35" s="165"/>
      <c r="AF35" s="164"/>
      <c r="AG35" s="138"/>
      <c r="AH35" s="138"/>
      <c r="AI35" s="165"/>
      <c r="AJ35" s="164"/>
      <c r="AK35" s="138"/>
      <c r="AL35" s="138"/>
      <c r="AM35" s="165"/>
      <c r="AN35" s="164"/>
      <c r="AO35" s="138"/>
      <c r="AP35" s="138"/>
      <c r="AQ35" s="165"/>
      <c r="AR35" s="164"/>
      <c r="AS35" s="138"/>
      <c r="AT35" s="138"/>
      <c r="AU35" s="165"/>
      <c r="AV35" s="164"/>
      <c r="AW35" s="138"/>
      <c r="AX35" s="138"/>
      <c r="AY35" s="165"/>
      <c r="AZ35" s="164"/>
      <c r="BA35" s="138"/>
      <c r="BB35" s="138"/>
      <c r="BC35" s="165"/>
      <c r="BD35" s="164"/>
      <c r="BE35" s="138"/>
      <c r="BF35" s="138"/>
      <c r="BG35" s="165"/>
      <c r="BH35" s="164"/>
      <c r="BI35" s="138"/>
      <c r="BJ35" s="138"/>
      <c r="BK35" s="165"/>
      <c r="BL35" s="152"/>
      <c r="BM35" s="153"/>
      <c r="BN35" s="153"/>
      <c r="BO35" s="154"/>
      <c r="BP35" s="88"/>
      <c r="BQ35" s="89"/>
    </row>
    <row r="36" spans="1:69" x14ac:dyDescent="0.25">
      <c r="A36" s="274" t="s">
        <v>83</v>
      </c>
      <c r="B36" s="276" t="s">
        <v>64</v>
      </c>
      <c r="C36" s="278" t="s">
        <v>25</v>
      </c>
      <c r="D36" s="278" t="s">
        <v>119</v>
      </c>
      <c r="E36" s="278">
        <v>1</v>
      </c>
      <c r="F36" s="280">
        <f>G36</f>
        <v>6496.9715099999994</v>
      </c>
      <c r="G36" s="280">
        <f>6496971.51/1000</f>
        <v>6496.9715099999994</v>
      </c>
      <c r="H36" s="282">
        <f>G36/G76</f>
        <v>2.2491769001480613E-2</v>
      </c>
      <c r="I36" s="284">
        <v>0</v>
      </c>
      <c r="J36" s="301">
        <f t="shared" ref="J36" si="9">I36*H36</f>
        <v>0</v>
      </c>
      <c r="K36" s="319">
        <v>45047</v>
      </c>
      <c r="L36" s="323">
        <v>45168</v>
      </c>
      <c r="M36" s="270"/>
      <c r="N36" s="270"/>
      <c r="O36" s="47" t="s">
        <v>26</v>
      </c>
      <c r="P36" s="226"/>
      <c r="Q36" s="227"/>
      <c r="R36" s="227"/>
      <c r="S36" s="230"/>
      <c r="T36" s="226"/>
      <c r="U36" s="227"/>
      <c r="V36" s="227"/>
      <c r="W36" s="230"/>
      <c r="X36" s="226"/>
      <c r="Y36" s="156"/>
      <c r="Z36" s="156"/>
      <c r="AA36" s="157"/>
      <c r="AB36" s="155"/>
      <c r="AC36" s="156"/>
      <c r="AD36" s="156"/>
      <c r="AE36" s="157"/>
      <c r="AF36" s="155"/>
      <c r="AG36" s="156"/>
      <c r="AH36" s="156"/>
      <c r="AI36" s="157"/>
      <c r="AJ36" s="155"/>
      <c r="AK36" s="156"/>
      <c r="AL36" s="156"/>
      <c r="AM36" s="157"/>
      <c r="AN36" s="155"/>
      <c r="AO36" s="156"/>
      <c r="AP36" s="156"/>
      <c r="AQ36" s="157"/>
      <c r="AR36" s="155"/>
      <c r="AS36" s="156"/>
      <c r="AT36" s="156"/>
      <c r="AU36" s="157"/>
      <c r="AV36" s="146">
        <v>3</v>
      </c>
      <c r="AW36" s="147">
        <v>3</v>
      </c>
      <c r="AX36" s="147">
        <v>3</v>
      </c>
      <c r="AY36" s="148">
        <v>3</v>
      </c>
      <c r="AZ36" s="146">
        <v>3</v>
      </c>
      <c r="BA36" s="147">
        <v>3</v>
      </c>
      <c r="BB36" s="147">
        <v>3</v>
      </c>
      <c r="BC36" s="148">
        <v>3</v>
      </c>
      <c r="BD36" s="146">
        <v>3</v>
      </c>
      <c r="BE36" s="147">
        <v>3</v>
      </c>
      <c r="BF36" s="147">
        <v>3</v>
      </c>
      <c r="BG36" s="148">
        <v>3</v>
      </c>
      <c r="BH36" s="146">
        <v>3</v>
      </c>
      <c r="BI36" s="147">
        <v>3</v>
      </c>
      <c r="BJ36" s="147">
        <v>3</v>
      </c>
      <c r="BK36" s="148">
        <v>3</v>
      </c>
      <c r="BL36" s="149"/>
      <c r="BM36" s="150"/>
      <c r="BN36" s="150"/>
      <c r="BO36" s="151"/>
      <c r="BP36" s="84"/>
      <c r="BQ36" s="85"/>
    </row>
    <row r="37" spans="1:69" s="6" customFormat="1" ht="15.75" thickBot="1" x14ac:dyDescent="0.3">
      <c r="A37" s="275"/>
      <c r="B37" s="277"/>
      <c r="C37" s="279"/>
      <c r="D37" s="279"/>
      <c r="E37" s="279"/>
      <c r="F37" s="281"/>
      <c r="G37" s="281"/>
      <c r="H37" s="283"/>
      <c r="I37" s="285"/>
      <c r="J37" s="302"/>
      <c r="K37" s="320"/>
      <c r="L37" s="324"/>
      <c r="M37" s="271"/>
      <c r="N37" s="271"/>
      <c r="O37" s="48" t="s">
        <v>27</v>
      </c>
      <c r="P37" s="228"/>
      <c r="Q37" s="136"/>
      <c r="R37" s="136"/>
      <c r="S37" s="139"/>
      <c r="T37" s="228"/>
      <c r="U37" s="136"/>
      <c r="V37" s="136"/>
      <c r="W37" s="139"/>
      <c r="X37" s="228"/>
      <c r="Y37" s="138"/>
      <c r="Z37" s="138"/>
      <c r="AA37" s="165"/>
      <c r="AB37" s="164"/>
      <c r="AC37" s="138"/>
      <c r="AD37" s="138"/>
      <c r="AE37" s="165"/>
      <c r="AF37" s="164"/>
      <c r="AG37" s="138"/>
      <c r="AH37" s="138"/>
      <c r="AI37" s="165"/>
      <c r="AJ37" s="164"/>
      <c r="AK37" s="138"/>
      <c r="AL37" s="138"/>
      <c r="AM37" s="165"/>
      <c r="AN37" s="164"/>
      <c r="AO37" s="138"/>
      <c r="AP37" s="138"/>
      <c r="AQ37" s="165"/>
      <c r="AR37" s="164"/>
      <c r="AS37" s="138"/>
      <c r="AT37" s="138"/>
      <c r="AU37" s="165"/>
      <c r="AV37" s="164"/>
      <c r="AW37" s="138"/>
      <c r="AX37" s="138"/>
      <c r="AY37" s="165"/>
      <c r="AZ37" s="164"/>
      <c r="BA37" s="138"/>
      <c r="BB37" s="138"/>
      <c r="BC37" s="165"/>
      <c r="BD37" s="164"/>
      <c r="BE37" s="138"/>
      <c r="BF37" s="138"/>
      <c r="BG37" s="165"/>
      <c r="BH37" s="164"/>
      <c r="BI37" s="138"/>
      <c r="BJ37" s="138"/>
      <c r="BK37" s="165"/>
      <c r="BL37" s="152"/>
      <c r="BM37" s="153"/>
      <c r="BN37" s="153"/>
      <c r="BO37" s="154"/>
      <c r="BP37" s="82"/>
      <c r="BQ37" s="83"/>
    </row>
    <row r="38" spans="1:69" x14ac:dyDescent="0.25">
      <c r="A38" s="274" t="s">
        <v>98</v>
      </c>
      <c r="B38" s="276" t="s">
        <v>63</v>
      </c>
      <c r="C38" s="278" t="s">
        <v>25</v>
      </c>
      <c r="D38" s="278" t="s">
        <v>119</v>
      </c>
      <c r="E38" s="278">
        <v>1</v>
      </c>
      <c r="F38" s="280">
        <f>G38</f>
        <v>2251.54648</v>
      </c>
      <c r="G38" s="280">
        <f>(1387054.74+234904.23+629587.51)/1000</f>
        <v>2251.54648</v>
      </c>
      <c r="H38" s="282">
        <f>G38/G76</f>
        <v>7.7945952581615664E-3</v>
      </c>
      <c r="I38" s="284">
        <v>0</v>
      </c>
      <c r="J38" s="301">
        <f t="shared" ref="J38" si="10">I38*H38</f>
        <v>0</v>
      </c>
      <c r="K38" s="319">
        <v>45047</v>
      </c>
      <c r="L38" s="323">
        <v>45168</v>
      </c>
      <c r="M38" s="270"/>
      <c r="N38" s="270"/>
      <c r="O38" s="47" t="s">
        <v>26</v>
      </c>
      <c r="P38" s="226"/>
      <c r="Q38" s="227"/>
      <c r="R38" s="227"/>
      <c r="S38" s="230"/>
      <c r="T38" s="226"/>
      <c r="U38" s="227"/>
      <c r="V38" s="227"/>
      <c r="W38" s="230"/>
      <c r="X38" s="226"/>
      <c r="Y38" s="156"/>
      <c r="Z38" s="156"/>
      <c r="AA38" s="157"/>
      <c r="AB38" s="155"/>
      <c r="AC38" s="156"/>
      <c r="AD38" s="156"/>
      <c r="AE38" s="157"/>
      <c r="AF38" s="155"/>
      <c r="AG38" s="156"/>
      <c r="AH38" s="156"/>
      <c r="AI38" s="157"/>
      <c r="AJ38" s="155"/>
      <c r="AK38" s="156"/>
      <c r="AL38" s="156"/>
      <c r="AM38" s="157"/>
      <c r="AN38" s="155"/>
      <c r="AO38" s="156"/>
      <c r="AP38" s="156"/>
      <c r="AQ38" s="157"/>
      <c r="AR38" s="155"/>
      <c r="AS38" s="156"/>
      <c r="AT38" s="156"/>
      <c r="AU38" s="157"/>
      <c r="AV38" s="146">
        <v>4</v>
      </c>
      <c r="AW38" s="147">
        <v>4</v>
      </c>
      <c r="AX38" s="147">
        <v>4</v>
      </c>
      <c r="AY38" s="148">
        <v>4</v>
      </c>
      <c r="AZ38" s="146">
        <v>4</v>
      </c>
      <c r="BA38" s="147">
        <v>4</v>
      </c>
      <c r="BB38" s="147">
        <v>4</v>
      </c>
      <c r="BC38" s="148">
        <v>4</v>
      </c>
      <c r="BD38" s="146">
        <v>4</v>
      </c>
      <c r="BE38" s="147">
        <v>4</v>
      </c>
      <c r="BF38" s="147">
        <v>4</v>
      </c>
      <c r="BG38" s="148">
        <v>4</v>
      </c>
      <c r="BH38" s="146">
        <v>4</v>
      </c>
      <c r="BI38" s="147">
        <v>4</v>
      </c>
      <c r="BJ38" s="147">
        <v>4</v>
      </c>
      <c r="BK38" s="148">
        <v>4</v>
      </c>
      <c r="BL38" s="149"/>
      <c r="BM38" s="150"/>
      <c r="BN38" s="150"/>
      <c r="BO38" s="151"/>
      <c r="BP38" s="84"/>
      <c r="BQ38" s="85"/>
    </row>
    <row r="39" spans="1:69" s="6" customFormat="1" ht="15.75" thickBot="1" x14ac:dyDescent="0.3">
      <c r="A39" s="275"/>
      <c r="B39" s="277"/>
      <c r="C39" s="279"/>
      <c r="D39" s="279"/>
      <c r="E39" s="279"/>
      <c r="F39" s="281"/>
      <c r="G39" s="281"/>
      <c r="H39" s="283"/>
      <c r="I39" s="285"/>
      <c r="J39" s="302"/>
      <c r="K39" s="320"/>
      <c r="L39" s="324"/>
      <c r="M39" s="271"/>
      <c r="N39" s="271"/>
      <c r="O39" s="48" t="s">
        <v>27</v>
      </c>
      <c r="P39" s="228"/>
      <c r="Q39" s="136"/>
      <c r="R39" s="136"/>
      <c r="S39" s="139"/>
      <c r="T39" s="228"/>
      <c r="U39" s="136"/>
      <c r="V39" s="136"/>
      <c r="W39" s="139"/>
      <c r="X39" s="228"/>
      <c r="Y39" s="138"/>
      <c r="Z39" s="138"/>
      <c r="AA39" s="165"/>
      <c r="AB39" s="164"/>
      <c r="AC39" s="138"/>
      <c r="AD39" s="138"/>
      <c r="AE39" s="165"/>
      <c r="AF39" s="164"/>
      <c r="AG39" s="138"/>
      <c r="AH39" s="138"/>
      <c r="AI39" s="165"/>
      <c r="AJ39" s="164"/>
      <c r="AK39" s="138"/>
      <c r="AL39" s="138"/>
      <c r="AM39" s="165"/>
      <c r="AN39" s="164"/>
      <c r="AO39" s="138"/>
      <c r="AP39" s="138"/>
      <c r="AQ39" s="165"/>
      <c r="AR39" s="164"/>
      <c r="AS39" s="138"/>
      <c r="AT39" s="138"/>
      <c r="AU39" s="165"/>
      <c r="AV39" s="164"/>
      <c r="AW39" s="138"/>
      <c r="AX39" s="138"/>
      <c r="AY39" s="165"/>
      <c r="AZ39" s="164"/>
      <c r="BA39" s="138"/>
      <c r="BB39" s="138"/>
      <c r="BC39" s="165"/>
      <c r="BD39" s="164"/>
      <c r="BE39" s="138"/>
      <c r="BF39" s="138"/>
      <c r="BG39" s="165"/>
      <c r="BH39" s="164"/>
      <c r="BI39" s="138"/>
      <c r="BJ39" s="138"/>
      <c r="BK39" s="165"/>
      <c r="BL39" s="152"/>
      <c r="BM39" s="153"/>
      <c r="BN39" s="153"/>
      <c r="BO39" s="154"/>
      <c r="BP39" s="82"/>
      <c r="BQ39" s="83"/>
    </row>
    <row r="40" spans="1:69" x14ac:dyDescent="0.25">
      <c r="A40" s="274" t="s">
        <v>99</v>
      </c>
      <c r="B40" s="276" t="s">
        <v>102</v>
      </c>
      <c r="C40" s="278" t="s">
        <v>25</v>
      </c>
      <c r="D40" s="278" t="s">
        <v>119</v>
      </c>
      <c r="E40" s="278">
        <v>1</v>
      </c>
      <c r="F40" s="280">
        <f>G40</f>
        <v>2088.4625799999999</v>
      </c>
      <c r="G40" s="280">
        <f>(1821425.23+267037.35)/1000</f>
        <v>2088.4625799999999</v>
      </c>
      <c r="H40" s="282">
        <f>G40/G76</f>
        <v>7.2300175312907024E-3</v>
      </c>
      <c r="I40" s="284">
        <v>0</v>
      </c>
      <c r="J40" s="301">
        <f t="shared" ref="J40" si="11">I40*H40</f>
        <v>0</v>
      </c>
      <c r="K40" s="319">
        <v>45047</v>
      </c>
      <c r="L40" s="323">
        <v>45168</v>
      </c>
      <c r="M40" s="270"/>
      <c r="N40" s="270"/>
      <c r="O40" s="47" t="s">
        <v>26</v>
      </c>
      <c r="P40" s="226"/>
      <c r="Q40" s="227"/>
      <c r="R40" s="227"/>
      <c r="S40" s="230"/>
      <c r="T40" s="226"/>
      <c r="U40" s="227"/>
      <c r="V40" s="227"/>
      <c r="W40" s="230"/>
      <c r="X40" s="226"/>
      <c r="Y40" s="156"/>
      <c r="Z40" s="156"/>
      <c r="AA40" s="157"/>
      <c r="AB40" s="155"/>
      <c r="AC40" s="156"/>
      <c r="AD40" s="156"/>
      <c r="AE40" s="157"/>
      <c r="AF40" s="155"/>
      <c r="AG40" s="156"/>
      <c r="AH40" s="156"/>
      <c r="AI40" s="157"/>
      <c r="AJ40" s="155"/>
      <c r="AK40" s="156"/>
      <c r="AL40" s="156"/>
      <c r="AM40" s="157"/>
      <c r="AN40" s="155"/>
      <c r="AO40" s="156"/>
      <c r="AP40" s="156"/>
      <c r="AQ40" s="157"/>
      <c r="AR40" s="155"/>
      <c r="AS40" s="156"/>
      <c r="AT40" s="156"/>
      <c r="AU40" s="157"/>
      <c r="AV40" s="146">
        <v>4</v>
      </c>
      <c r="AW40" s="147">
        <v>4</v>
      </c>
      <c r="AX40" s="147">
        <v>4</v>
      </c>
      <c r="AY40" s="148">
        <v>4</v>
      </c>
      <c r="AZ40" s="146">
        <v>4</v>
      </c>
      <c r="BA40" s="147">
        <v>4</v>
      </c>
      <c r="BB40" s="147">
        <v>4</v>
      </c>
      <c r="BC40" s="148">
        <v>4</v>
      </c>
      <c r="BD40" s="146">
        <v>4</v>
      </c>
      <c r="BE40" s="147">
        <v>4</v>
      </c>
      <c r="BF40" s="147">
        <v>4</v>
      </c>
      <c r="BG40" s="148">
        <v>4</v>
      </c>
      <c r="BH40" s="146">
        <v>4</v>
      </c>
      <c r="BI40" s="147">
        <v>4</v>
      </c>
      <c r="BJ40" s="147">
        <v>4</v>
      </c>
      <c r="BK40" s="148">
        <v>4</v>
      </c>
      <c r="BL40" s="149"/>
      <c r="BM40" s="150"/>
      <c r="BN40" s="150"/>
      <c r="BO40" s="151"/>
      <c r="BP40" s="84"/>
      <c r="BQ40" s="85"/>
    </row>
    <row r="41" spans="1:69" s="6" customFormat="1" ht="15.75" thickBot="1" x14ac:dyDescent="0.3">
      <c r="A41" s="275"/>
      <c r="B41" s="277"/>
      <c r="C41" s="279"/>
      <c r="D41" s="279"/>
      <c r="E41" s="279"/>
      <c r="F41" s="281"/>
      <c r="G41" s="281"/>
      <c r="H41" s="283"/>
      <c r="I41" s="285"/>
      <c r="J41" s="302"/>
      <c r="K41" s="320"/>
      <c r="L41" s="324"/>
      <c r="M41" s="271"/>
      <c r="N41" s="271"/>
      <c r="O41" s="48" t="s">
        <v>27</v>
      </c>
      <c r="P41" s="228"/>
      <c r="Q41" s="136"/>
      <c r="R41" s="136"/>
      <c r="S41" s="139"/>
      <c r="T41" s="228"/>
      <c r="U41" s="136"/>
      <c r="V41" s="136"/>
      <c r="W41" s="139"/>
      <c r="X41" s="228"/>
      <c r="Y41" s="138"/>
      <c r="Z41" s="138"/>
      <c r="AA41" s="165"/>
      <c r="AB41" s="164"/>
      <c r="AC41" s="138"/>
      <c r="AD41" s="138"/>
      <c r="AE41" s="165"/>
      <c r="AF41" s="164"/>
      <c r="AG41" s="138"/>
      <c r="AH41" s="138"/>
      <c r="AI41" s="165"/>
      <c r="AJ41" s="164"/>
      <c r="AK41" s="138"/>
      <c r="AL41" s="138"/>
      <c r="AM41" s="165"/>
      <c r="AN41" s="164"/>
      <c r="AO41" s="138"/>
      <c r="AP41" s="138"/>
      <c r="AQ41" s="165"/>
      <c r="AR41" s="164"/>
      <c r="AS41" s="138"/>
      <c r="AT41" s="138"/>
      <c r="AU41" s="165"/>
      <c r="AV41" s="164"/>
      <c r="AW41" s="138"/>
      <c r="AX41" s="138"/>
      <c r="AY41" s="165"/>
      <c r="AZ41" s="164"/>
      <c r="BA41" s="138"/>
      <c r="BB41" s="138"/>
      <c r="BC41" s="165"/>
      <c r="BD41" s="164"/>
      <c r="BE41" s="138"/>
      <c r="BF41" s="138"/>
      <c r="BG41" s="165"/>
      <c r="BH41" s="164"/>
      <c r="BI41" s="138"/>
      <c r="BJ41" s="138"/>
      <c r="BK41" s="165"/>
      <c r="BL41" s="152"/>
      <c r="BM41" s="153"/>
      <c r="BN41" s="153"/>
      <c r="BO41" s="154"/>
      <c r="BP41" s="82"/>
      <c r="BQ41" s="83"/>
    </row>
    <row r="42" spans="1:69" x14ac:dyDescent="0.25">
      <c r="A42" s="274" t="s">
        <v>100</v>
      </c>
      <c r="B42" s="276" t="s">
        <v>115</v>
      </c>
      <c r="C42" s="278" t="s">
        <v>25</v>
      </c>
      <c r="D42" s="278" t="s">
        <v>119</v>
      </c>
      <c r="E42" s="278">
        <v>1</v>
      </c>
      <c r="F42" s="280">
        <f>G42</f>
        <v>16315.359618946404</v>
      </c>
      <c r="G42" s="280">
        <f>(((6182352+9553015+26105)*1.011)*1.004*1.0198)/1000</f>
        <v>16315.359618946404</v>
      </c>
      <c r="H42" s="282">
        <f>G42/G76</f>
        <v>5.6481900707215399E-2</v>
      </c>
      <c r="I42" s="284">
        <v>0</v>
      </c>
      <c r="J42" s="301">
        <f t="shared" ref="J42" si="12">I42*H42</f>
        <v>0</v>
      </c>
      <c r="K42" s="319">
        <v>45078</v>
      </c>
      <c r="L42" s="323">
        <v>45168</v>
      </c>
      <c r="M42" s="270"/>
      <c r="N42" s="270"/>
      <c r="O42" s="47" t="s">
        <v>26</v>
      </c>
      <c r="P42" s="226"/>
      <c r="Q42" s="227"/>
      <c r="R42" s="227"/>
      <c r="S42" s="230"/>
      <c r="T42" s="226"/>
      <c r="U42" s="227"/>
      <c r="V42" s="227"/>
      <c r="W42" s="230"/>
      <c r="X42" s="226"/>
      <c r="Y42" s="156"/>
      <c r="Z42" s="156"/>
      <c r="AA42" s="157"/>
      <c r="AB42" s="155"/>
      <c r="AC42" s="156"/>
      <c r="AD42" s="156"/>
      <c r="AE42" s="157"/>
      <c r="AF42" s="155"/>
      <c r="AG42" s="156"/>
      <c r="AH42" s="156"/>
      <c r="AI42" s="157"/>
      <c r="AJ42" s="155"/>
      <c r="AK42" s="156"/>
      <c r="AL42" s="156"/>
      <c r="AM42" s="157"/>
      <c r="AN42" s="155"/>
      <c r="AO42" s="156"/>
      <c r="AP42" s="156"/>
      <c r="AQ42" s="157"/>
      <c r="AR42" s="155"/>
      <c r="AS42" s="156"/>
      <c r="AT42" s="156"/>
      <c r="AU42" s="157"/>
      <c r="AV42" s="155"/>
      <c r="AW42" s="156"/>
      <c r="AX42" s="156"/>
      <c r="AY42" s="157"/>
      <c r="AZ42" s="146">
        <v>8</v>
      </c>
      <c r="BA42" s="147">
        <v>8</v>
      </c>
      <c r="BB42" s="147">
        <v>8</v>
      </c>
      <c r="BC42" s="148">
        <v>8</v>
      </c>
      <c r="BD42" s="146">
        <v>8</v>
      </c>
      <c r="BE42" s="147">
        <v>8</v>
      </c>
      <c r="BF42" s="147">
        <v>8</v>
      </c>
      <c r="BG42" s="148">
        <v>8</v>
      </c>
      <c r="BH42" s="146">
        <v>12</v>
      </c>
      <c r="BI42" s="147">
        <v>12</v>
      </c>
      <c r="BJ42" s="147">
        <v>12</v>
      </c>
      <c r="BK42" s="148">
        <v>12</v>
      </c>
      <c r="BL42" s="149"/>
      <c r="BM42" s="150"/>
      <c r="BN42" s="150"/>
      <c r="BO42" s="151"/>
      <c r="BP42" s="84"/>
      <c r="BQ42" s="85"/>
    </row>
    <row r="43" spans="1:69" s="6" customFormat="1" ht="15.75" thickBot="1" x14ac:dyDescent="0.3">
      <c r="A43" s="275"/>
      <c r="B43" s="277"/>
      <c r="C43" s="279"/>
      <c r="D43" s="279"/>
      <c r="E43" s="279"/>
      <c r="F43" s="281"/>
      <c r="G43" s="281"/>
      <c r="H43" s="283"/>
      <c r="I43" s="285"/>
      <c r="J43" s="302"/>
      <c r="K43" s="320"/>
      <c r="L43" s="324"/>
      <c r="M43" s="271"/>
      <c r="N43" s="271"/>
      <c r="O43" s="48" t="s">
        <v>27</v>
      </c>
      <c r="P43" s="228"/>
      <c r="Q43" s="136"/>
      <c r="R43" s="136"/>
      <c r="S43" s="139"/>
      <c r="T43" s="228"/>
      <c r="U43" s="136"/>
      <c r="V43" s="136"/>
      <c r="W43" s="139"/>
      <c r="X43" s="228"/>
      <c r="Y43" s="138"/>
      <c r="Z43" s="138"/>
      <c r="AA43" s="165"/>
      <c r="AB43" s="164"/>
      <c r="AC43" s="138"/>
      <c r="AD43" s="138"/>
      <c r="AE43" s="165"/>
      <c r="AF43" s="164"/>
      <c r="AG43" s="138"/>
      <c r="AH43" s="138"/>
      <c r="AI43" s="165"/>
      <c r="AJ43" s="164"/>
      <c r="AK43" s="138"/>
      <c r="AL43" s="138"/>
      <c r="AM43" s="165"/>
      <c r="AN43" s="164"/>
      <c r="AO43" s="138"/>
      <c r="AP43" s="138"/>
      <c r="AQ43" s="165"/>
      <c r="AR43" s="164"/>
      <c r="AS43" s="138"/>
      <c r="AT43" s="138"/>
      <c r="AU43" s="165"/>
      <c r="AV43" s="164"/>
      <c r="AW43" s="138"/>
      <c r="AX43" s="138"/>
      <c r="AY43" s="165"/>
      <c r="AZ43" s="164"/>
      <c r="BA43" s="138"/>
      <c r="BB43" s="138"/>
      <c r="BC43" s="165"/>
      <c r="BD43" s="164"/>
      <c r="BE43" s="138"/>
      <c r="BF43" s="138"/>
      <c r="BG43" s="165"/>
      <c r="BH43" s="164"/>
      <c r="BI43" s="138"/>
      <c r="BJ43" s="138"/>
      <c r="BK43" s="165"/>
      <c r="BL43" s="152"/>
      <c r="BM43" s="153"/>
      <c r="BN43" s="153"/>
      <c r="BO43" s="154"/>
      <c r="BP43" s="82"/>
      <c r="BQ43" s="83"/>
    </row>
    <row r="44" spans="1:69" x14ac:dyDescent="0.25">
      <c r="A44" s="274" t="s">
        <v>101</v>
      </c>
      <c r="B44" s="276" t="s">
        <v>113</v>
      </c>
      <c r="C44" s="278" t="s">
        <v>25</v>
      </c>
      <c r="D44" s="278" t="s">
        <v>119</v>
      </c>
      <c r="E44" s="278">
        <v>1</v>
      </c>
      <c r="F44" s="280">
        <f>G44</f>
        <v>10198.94127923037</v>
      </c>
      <c r="G44" s="280">
        <f>(((1336592+536503+5618662+1723009+131526+15333+12207+327394+108627+42846)*1.011)*1.004*1.0198)/1000</f>
        <v>10198.94127923037</v>
      </c>
      <c r="H44" s="282">
        <f>G44/G76</f>
        <v>3.5307563063658051E-2</v>
      </c>
      <c r="I44" s="284">
        <v>0</v>
      </c>
      <c r="J44" s="301">
        <f t="shared" ref="J44" si="13">I44*H44</f>
        <v>0</v>
      </c>
      <c r="K44" s="319">
        <v>45078</v>
      </c>
      <c r="L44" s="315">
        <v>45168</v>
      </c>
      <c r="M44" s="270"/>
      <c r="N44" s="270"/>
      <c r="O44" s="47" t="s">
        <v>26</v>
      </c>
      <c r="P44" s="226"/>
      <c r="Q44" s="227"/>
      <c r="R44" s="227"/>
      <c r="S44" s="230"/>
      <c r="T44" s="226"/>
      <c r="U44" s="227"/>
      <c r="V44" s="227"/>
      <c r="W44" s="230"/>
      <c r="X44" s="226"/>
      <c r="Y44" s="156"/>
      <c r="Z44" s="156"/>
      <c r="AA44" s="157"/>
      <c r="AB44" s="155"/>
      <c r="AC44" s="156"/>
      <c r="AD44" s="156"/>
      <c r="AE44" s="157"/>
      <c r="AF44" s="155"/>
      <c r="AG44" s="156"/>
      <c r="AH44" s="156"/>
      <c r="AI44" s="157"/>
      <c r="AJ44" s="155"/>
      <c r="AK44" s="156"/>
      <c r="AL44" s="156"/>
      <c r="AM44" s="157"/>
      <c r="AN44" s="155"/>
      <c r="AO44" s="156"/>
      <c r="AP44" s="156"/>
      <c r="AQ44" s="157"/>
      <c r="AR44" s="155"/>
      <c r="AS44" s="156"/>
      <c r="AT44" s="156"/>
      <c r="AU44" s="157"/>
      <c r="AV44" s="155"/>
      <c r="AW44" s="156"/>
      <c r="AX44" s="156"/>
      <c r="AY44" s="157"/>
      <c r="AZ44" s="146">
        <v>3</v>
      </c>
      <c r="BA44" s="147">
        <v>3</v>
      </c>
      <c r="BB44" s="147">
        <v>3</v>
      </c>
      <c r="BC44" s="148">
        <v>3</v>
      </c>
      <c r="BD44" s="146">
        <v>3</v>
      </c>
      <c r="BE44" s="147">
        <v>3</v>
      </c>
      <c r="BF44" s="147">
        <v>3</v>
      </c>
      <c r="BG44" s="148">
        <v>3</v>
      </c>
      <c r="BH44" s="146">
        <v>3</v>
      </c>
      <c r="BI44" s="147">
        <v>3</v>
      </c>
      <c r="BJ44" s="147">
        <v>3</v>
      </c>
      <c r="BK44" s="148">
        <v>3</v>
      </c>
      <c r="BL44" s="149"/>
      <c r="BM44" s="150"/>
      <c r="BN44" s="150"/>
      <c r="BO44" s="151"/>
      <c r="BP44" s="84"/>
      <c r="BQ44" s="85"/>
    </row>
    <row r="45" spans="1:69" s="6" customFormat="1" ht="15.75" thickBot="1" x14ac:dyDescent="0.3">
      <c r="A45" s="275"/>
      <c r="B45" s="277"/>
      <c r="C45" s="279"/>
      <c r="D45" s="279"/>
      <c r="E45" s="279"/>
      <c r="F45" s="281"/>
      <c r="G45" s="281"/>
      <c r="H45" s="283"/>
      <c r="I45" s="285"/>
      <c r="J45" s="302"/>
      <c r="K45" s="320"/>
      <c r="L45" s="316"/>
      <c r="M45" s="271"/>
      <c r="N45" s="271"/>
      <c r="O45" s="48" t="s">
        <v>27</v>
      </c>
      <c r="P45" s="228"/>
      <c r="Q45" s="136"/>
      <c r="R45" s="136"/>
      <c r="S45" s="139"/>
      <c r="T45" s="228"/>
      <c r="U45" s="136"/>
      <c r="V45" s="136"/>
      <c r="W45" s="139"/>
      <c r="X45" s="228"/>
      <c r="Y45" s="138"/>
      <c r="Z45" s="138"/>
      <c r="AA45" s="165"/>
      <c r="AB45" s="164"/>
      <c r="AC45" s="138"/>
      <c r="AD45" s="138"/>
      <c r="AE45" s="165"/>
      <c r="AF45" s="164"/>
      <c r="AG45" s="138"/>
      <c r="AH45" s="138"/>
      <c r="AI45" s="165"/>
      <c r="AJ45" s="164"/>
      <c r="AK45" s="138"/>
      <c r="AL45" s="138"/>
      <c r="AM45" s="165"/>
      <c r="AN45" s="164"/>
      <c r="AO45" s="138"/>
      <c r="AP45" s="138"/>
      <c r="AQ45" s="165"/>
      <c r="AR45" s="164"/>
      <c r="AS45" s="138"/>
      <c r="AT45" s="138"/>
      <c r="AU45" s="165"/>
      <c r="AV45" s="164"/>
      <c r="AW45" s="138"/>
      <c r="AX45" s="138"/>
      <c r="AY45" s="165"/>
      <c r="AZ45" s="164"/>
      <c r="BA45" s="138"/>
      <c r="BB45" s="138"/>
      <c r="BC45" s="165"/>
      <c r="BD45" s="164"/>
      <c r="BE45" s="138"/>
      <c r="BF45" s="138"/>
      <c r="BG45" s="165"/>
      <c r="BH45" s="164"/>
      <c r="BI45" s="138"/>
      <c r="BJ45" s="138"/>
      <c r="BK45" s="165"/>
      <c r="BL45" s="152"/>
      <c r="BM45" s="153"/>
      <c r="BN45" s="153"/>
      <c r="BO45" s="154"/>
      <c r="BP45" s="82"/>
      <c r="BQ45" s="83"/>
    </row>
    <row r="46" spans="1:69" s="16" customFormat="1" ht="17.25" customHeight="1" thickBot="1" x14ac:dyDescent="0.25">
      <c r="A46" s="90" t="s">
        <v>16</v>
      </c>
      <c r="B46" s="91" t="s">
        <v>31</v>
      </c>
      <c r="C46" s="59"/>
      <c r="D46" s="59"/>
      <c r="E46" s="59"/>
      <c r="F46" s="144"/>
      <c r="G46" s="144"/>
      <c r="H46" s="59"/>
      <c r="I46" s="59"/>
      <c r="J46" s="59"/>
      <c r="K46" s="71">
        <v>45047</v>
      </c>
      <c r="L46" s="71">
        <v>45168</v>
      </c>
      <c r="M46" s="91"/>
      <c r="N46" s="91"/>
      <c r="O46" s="51"/>
      <c r="P46" s="92"/>
      <c r="Q46" s="93"/>
      <c r="R46" s="93"/>
      <c r="S46" s="94"/>
      <c r="T46" s="92"/>
      <c r="U46" s="93"/>
      <c r="V46" s="93"/>
      <c r="W46" s="94"/>
      <c r="X46" s="92"/>
      <c r="Y46" s="162"/>
      <c r="Z46" s="162"/>
      <c r="AA46" s="163"/>
      <c r="AB46" s="161"/>
      <c r="AC46" s="162"/>
      <c r="AD46" s="162"/>
      <c r="AE46" s="163"/>
      <c r="AF46" s="161"/>
      <c r="AG46" s="162"/>
      <c r="AH46" s="162"/>
      <c r="AI46" s="163"/>
      <c r="AJ46" s="161"/>
      <c r="AK46" s="162"/>
      <c r="AL46" s="162"/>
      <c r="AM46" s="163"/>
      <c r="AN46" s="161"/>
      <c r="AO46" s="162"/>
      <c r="AP46" s="162"/>
      <c r="AQ46" s="163"/>
      <c r="AR46" s="161"/>
      <c r="AS46" s="162"/>
      <c r="AT46" s="162"/>
      <c r="AU46" s="163"/>
      <c r="AV46" s="161"/>
      <c r="AW46" s="162"/>
      <c r="AX46" s="162"/>
      <c r="AY46" s="163"/>
      <c r="AZ46" s="161"/>
      <c r="BA46" s="162"/>
      <c r="BB46" s="162"/>
      <c r="BC46" s="163"/>
      <c r="BD46" s="161"/>
      <c r="BE46" s="162"/>
      <c r="BF46" s="162"/>
      <c r="BG46" s="163"/>
      <c r="BH46" s="161"/>
      <c r="BI46" s="162"/>
      <c r="BJ46" s="162"/>
      <c r="BK46" s="163"/>
      <c r="BL46" s="161"/>
      <c r="BM46" s="162"/>
      <c r="BN46" s="162"/>
      <c r="BO46" s="163"/>
      <c r="BP46" s="95"/>
      <c r="BQ46" s="96"/>
    </row>
    <row r="47" spans="1:69" s="6" customFormat="1" x14ac:dyDescent="0.25">
      <c r="A47" s="361" t="s">
        <v>84</v>
      </c>
      <c r="B47" s="276" t="s">
        <v>32</v>
      </c>
      <c r="C47" s="278" t="s">
        <v>25</v>
      </c>
      <c r="D47" s="278" t="s">
        <v>119</v>
      </c>
      <c r="E47" s="278">
        <v>1</v>
      </c>
      <c r="F47" s="280">
        <f>G47</f>
        <v>4332.0441500000006</v>
      </c>
      <c r="G47" s="280">
        <f>4332044.15/1000</f>
        <v>4332.0441500000006</v>
      </c>
      <c r="H47" s="282">
        <f>G47/G76</f>
        <v>1.4997039186033841E-2</v>
      </c>
      <c r="I47" s="284">
        <v>0</v>
      </c>
      <c r="J47" s="301">
        <f t="shared" ref="J47:J55" si="14">I47*H47</f>
        <v>0</v>
      </c>
      <c r="K47" s="319">
        <v>45047</v>
      </c>
      <c r="L47" s="323">
        <v>45168</v>
      </c>
      <c r="M47" s="270"/>
      <c r="N47" s="270"/>
      <c r="O47" s="47" t="s">
        <v>26</v>
      </c>
      <c r="P47" s="74"/>
      <c r="Q47" s="75"/>
      <c r="R47" s="75"/>
      <c r="S47" s="76"/>
      <c r="T47" s="74"/>
      <c r="U47" s="75"/>
      <c r="V47" s="75"/>
      <c r="W47" s="76"/>
      <c r="X47" s="74"/>
      <c r="Y47" s="150"/>
      <c r="Z47" s="150"/>
      <c r="AA47" s="151"/>
      <c r="AB47" s="149"/>
      <c r="AC47" s="150"/>
      <c r="AD47" s="150"/>
      <c r="AE47" s="151"/>
      <c r="AF47" s="149"/>
      <c r="AG47" s="150"/>
      <c r="AH47" s="150"/>
      <c r="AI47" s="151"/>
      <c r="AJ47" s="149"/>
      <c r="AK47" s="150"/>
      <c r="AL47" s="150"/>
      <c r="AM47" s="151"/>
      <c r="AN47" s="149"/>
      <c r="AO47" s="150"/>
      <c r="AP47" s="150"/>
      <c r="AQ47" s="151"/>
      <c r="AR47" s="149"/>
      <c r="AS47" s="150"/>
      <c r="AT47" s="150"/>
      <c r="AU47" s="151"/>
      <c r="AV47" s="146">
        <v>4</v>
      </c>
      <c r="AW47" s="147">
        <v>4</v>
      </c>
      <c r="AX47" s="147">
        <v>4</v>
      </c>
      <c r="AY47" s="148">
        <v>4</v>
      </c>
      <c r="AZ47" s="146">
        <v>4</v>
      </c>
      <c r="BA47" s="147">
        <v>4</v>
      </c>
      <c r="BB47" s="147">
        <v>4</v>
      </c>
      <c r="BC47" s="148">
        <v>4</v>
      </c>
      <c r="BD47" s="146">
        <v>4</v>
      </c>
      <c r="BE47" s="147">
        <v>4</v>
      </c>
      <c r="BF47" s="147">
        <v>4</v>
      </c>
      <c r="BG47" s="148">
        <v>4</v>
      </c>
      <c r="BH47" s="146">
        <v>4</v>
      </c>
      <c r="BI47" s="147">
        <v>4</v>
      </c>
      <c r="BJ47" s="147">
        <v>4</v>
      </c>
      <c r="BK47" s="148">
        <v>4</v>
      </c>
      <c r="BL47" s="149"/>
      <c r="BM47" s="150"/>
      <c r="BN47" s="150"/>
      <c r="BO47" s="151"/>
      <c r="BP47" s="77"/>
      <c r="BQ47" s="78"/>
    </row>
    <row r="48" spans="1:69" s="6" customFormat="1" ht="15.75" thickBot="1" x14ac:dyDescent="0.3">
      <c r="A48" s="362"/>
      <c r="B48" s="277"/>
      <c r="C48" s="279"/>
      <c r="D48" s="279"/>
      <c r="E48" s="279"/>
      <c r="F48" s="281"/>
      <c r="G48" s="281"/>
      <c r="H48" s="283"/>
      <c r="I48" s="285"/>
      <c r="J48" s="302"/>
      <c r="K48" s="320"/>
      <c r="L48" s="324"/>
      <c r="M48" s="271"/>
      <c r="N48" s="271"/>
      <c r="O48" s="48" t="s">
        <v>27</v>
      </c>
      <c r="P48" s="79"/>
      <c r="Q48" s="80"/>
      <c r="R48" s="80"/>
      <c r="S48" s="81"/>
      <c r="T48" s="79"/>
      <c r="U48" s="80"/>
      <c r="V48" s="80"/>
      <c r="W48" s="81"/>
      <c r="X48" s="79"/>
      <c r="Y48" s="153"/>
      <c r="Z48" s="153"/>
      <c r="AA48" s="154"/>
      <c r="AB48" s="152"/>
      <c r="AC48" s="153"/>
      <c r="AD48" s="153"/>
      <c r="AE48" s="154"/>
      <c r="AF48" s="152"/>
      <c r="AG48" s="153"/>
      <c r="AH48" s="153"/>
      <c r="AI48" s="154"/>
      <c r="AJ48" s="152"/>
      <c r="AK48" s="153"/>
      <c r="AL48" s="153"/>
      <c r="AM48" s="154"/>
      <c r="AN48" s="152"/>
      <c r="AO48" s="153"/>
      <c r="AP48" s="153"/>
      <c r="AQ48" s="154"/>
      <c r="AR48" s="152"/>
      <c r="AS48" s="153"/>
      <c r="AT48" s="153"/>
      <c r="AU48" s="154"/>
      <c r="AV48" s="164"/>
      <c r="AW48" s="138"/>
      <c r="AX48" s="138"/>
      <c r="AY48" s="165"/>
      <c r="AZ48" s="164"/>
      <c r="BA48" s="138"/>
      <c r="BB48" s="138"/>
      <c r="BC48" s="165"/>
      <c r="BD48" s="164"/>
      <c r="BE48" s="138"/>
      <c r="BF48" s="138"/>
      <c r="BG48" s="165"/>
      <c r="BH48" s="164"/>
      <c r="BI48" s="138"/>
      <c r="BJ48" s="138"/>
      <c r="BK48" s="165"/>
      <c r="BL48" s="152"/>
      <c r="BM48" s="153"/>
      <c r="BN48" s="153"/>
      <c r="BO48" s="154"/>
      <c r="BP48" s="82"/>
      <c r="BQ48" s="83"/>
    </row>
    <row r="49" spans="1:69" s="6" customFormat="1" x14ac:dyDescent="0.25">
      <c r="A49" s="361" t="s">
        <v>85</v>
      </c>
      <c r="B49" s="276" t="s">
        <v>33</v>
      </c>
      <c r="C49" s="278" t="s">
        <v>25</v>
      </c>
      <c r="D49" s="278" t="s">
        <v>119</v>
      </c>
      <c r="E49" s="278">
        <v>1</v>
      </c>
      <c r="F49" s="280">
        <f>G49</f>
        <v>735.38036</v>
      </c>
      <c r="G49" s="280">
        <f>735380.36/1000</f>
        <v>735.38036</v>
      </c>
      <c r="H49" s="282">
        <f>G49/G76</f>
        <v>2.5458023264974508E-3</v>
      </c>
      <c r="I49" s="284">
        <v>0</v>
      </c>
      <c r="J49" s="301">
        <f t="shared" si="14"/>
        <v>0</v>
      </c>
      <c r="K49" s="319">
        <v>45047</v>
      </c>
      <c r="L49" s="323">
        <v>45168</v>
      </c>
      <c r="M49" s="270"/>
      <c r="N49" s="270"/>
      <c r="O49" s="47" t="s">
        <v>26</v>
      </c>
      <c r="P49" s="74"/>
      <c r="Q49" s="75"/>
      <c r="R49" s="75"/>
      <c r="S49" s="76"/>
      <c r="T49" s="74"/>
      <c r="U49" s="75"/>
      <c r="V49" s="75"/>
      <c r="W49" s="76"/>
      <c r="X49" s="74"/>
      <c r="Y49" s="150"/>
      <c r="Z49" s="150"/>
      <c r="AA49" s="151"/>
      <c r="AB49" s="149"/>
      <c r="AC49" s="150"/>
      <c r="AD49" s="150"/>
      <c r="AE49" s="151"/>
      <c r="AF49" s="149"/>
      <c r="AG49" s="150"/>
      <c r="AH49" s="150"/>
      <c r="AI49" s="151"/>
      <c r="AJ49" s="149"/>
      <c r="AK49" s="150"/>
      <c r="AL49" s="150"/>
      <c r="AM49" s="151"/>
      <c r="AN49" s="149"/>
      <c r="AO49" s="150"/>
      <c r="AP49" s="150"/>
      <c r="AQ49" s="151"/>
      <c r="AR49" s="149"/>
      <c r="AS49" s="150"/>
      <c r="AT49" s="150"/>
      <c r="AU49" s="151"/>
      <c r="AV49" s="146">
        <v>2</v>
      </c>
      <c r="AW49" s="147">
        <v>2</v>
      </c>
      <c r="AX49" s="147">
        <v>2</v>
      </c>
      <c r="AY49" s="148">
        <v>2</v>
      </c>
      <c r="AZ49" s="146">
        <v>2</v>
      </c>
      <c r="BA49" s="147">
        <v>2</v>
      </c>
      <c r="BB49" s="147">
        <v>2</v>
      </c>
      <c r="BC49" s="148">
        <v>2</v>
      </c>
      <c r="BD49" s="146">
        <v>2</v>
      </c>
      <c r="BE49" s="147">
        <v>2</v>
      </c>
      <c r="BF49" s="147">
        <v>2</v>
      </c>
      <c r="BG49" s="148">
        <v>2</v>
      </c>
      <c r="BH49" s="146">
        <v>2</v>
      </c>
      <c r="BI49" s="147">
        <v>2</v>
      </c>
      <c r="BJ49" s="147">
        <v>2</v>
      </c>
      <c r="BK49" s="148">
        <v>2</v>
      </c>
      <c r="BL49" s="149"/>
      <c r="BM49" s="150"/>
      <c r="BN49" s="150"/>
      <c r="BO49" s="151"/>
      <c r="BP49" s="77"/>
      <c r="BQ49" s="78"/>
    </row>
    <row r="50" spans="1:69" s="6" customFormat="1" ht="15.75" thickBot="1" x14ac:dyDescent="0.3">
      <c r="A50" s="362"/>
      <c r="B50" s="277"/>
      <c r="C50" s="279"/>
      <c r="D50" s="279"/>
      <c r="E50" s="279"/>
      <c r="F50" s="281"/>
      <c r="G50" s="281"/>
      <c r="H50" s="283"/>
      <c r="I50" s="285"/>
      <c r="J50" s="302"/>
      <c r="K50" s="320"/>
      <c r="L50" s="324"/>
      <c r="M50" s="271"/>
      <c r="N50" s="271"/>
      <c r="O50" s="48" t="s">
        <v>27</v>
      </c>
      <c r="P50" s="79"/>
      <c r="Q50" s="80"/>
      <c r="R50" s="80"/>
      <c r="S50" s="81"/>
      <c r="T50" s="79"/>
      <c r="U50" s="80"/>
      <c r="V50" s="80"/>
      <c r="W50" s="81"/>
      <c r="X50" s="79"/>
      <c r="Y50" s="153"/>
      <c r="Z50" s="153"/>
      <c r="AA50" s="154"/>
      <c r="AB50" s="152"/>
      <c r="AC50" s="153"/>
      <c r="AD50" s="153"/>
      <c r="AE50" s="154"/>
      <c r="AF50" s="152"/>
      <c r="AG50" s="153"/>
      <c r="AH50" s="153"/>
      <c r="AI50" s="154"/>
      <c r="AJ50" s="152"/>
      <c r="AK50" s="153"/>
      <c r="AL50" s="153"/>
      <c r="AM50" s="154"/>
      <c r="AN50" s="152"/>
      <c r="AO50" s="153"/>
      <c r="AP50" s="153"/>
      <c r="AQ50" s="154"/>
      <c r="AR50" s="152"/>
      <c r="AS50" s="153"/>
      <c r="AT50" s="153"/>
      <c r="AU50" s="154"/>
      <c r="AV50" s="164"/>
      <c r="AW50" s="138"/>
      <c r="AX50" s="138"/>
      <c r="AY50" s="165"/>
      <c r="AZ50" s="164"/>
      <c r="BA50" s="138"/>
      <c r="BB50" s="138"/>
      <c r="BC50" s="165"/>
      <c r="BD50" s="164"/>
      <c r="BE50" s="138"/>
      <c r="BF50" s="138"/>
      <c r="BG50" s="165"/>
      <c r="BH50" s="164"/>
      <c r="BI50" s="138"/>
      <c r="BJ50" s="138"/>
      <c r="BK50" s="165"/>
      <c r="BL50" s="152"/>
      <c r="BM50" s="153"/>
      <c r="BN50" s="153"/>
      <c r="BO50" s="154"/>
      <c r="BP50" s="82"/>
      <c r="BQ50" s="83"/>
    </row>
    <row r="51" spans="1:69" s="6" customFormat="1" x14ac:dyDescent="0.25">
      <c r="A51" s="361" t="s">
        <v>86</v>
      </c>
      <c r="B51" s="317" t="s">
        <v>34</v>
      </c>
      <c r="C51" s="278" t="s">
        <v>25</v>
      </c>
      <c r="D51" s="278" t="s">
        <v>119</v>
      </c>
      <c r="E51" s="278">
        <v>1</v>
      </c>
      <c r="F51" s="280">
        <f>G51</f>
        <v>2735.0472999999997</v>
      </c>
      <c r="G51" s="280">
        <f>2735047.3/1000</f>
        <v>2735.0472999999997</v>
      </c>
      <c r="H51" s="282">
        <f>G51/G76</f>
        <v>9.4684195528699881E-3</v>
      </c>
      <c r="I51" s="284">
        <v>0</v>
      </c>
      <c r="J51" s="301">
        <f t="shared" si="14"/>
        <v>0</v>
      </c>
      <c r="K51" s="319">
        <v>45047</v>
      </c>
      <c r="L51" s="323">
        <v>45168</v>
      </c>
      <c r="M51" s="270"/>
      <c r="N51" s="270"/>
      <c r="O51" s="47" t="s">
        <v>26</v>
      </c>
      <c r="P51" s="74"/>
      <c r="Q51" s="75"/>
      <c r="R51" s="75"/>
      <c r="S51" s="76"/>
      <c r="T51" s="74"/>
      <c r="U51" s="75"/>
      <c r="V51" s="75"/>
      <c r="W51" s="76"/>
      <c r="X51" s="74"/>
      <c r="Y51" s="150"/>
      <c r="Z51" s="150"/>
      <c r="AA51" s="151"/>
      <c r="AB51" s="149"/>
      <c r="AC51" s="150"/>
      <c r="AD51" s="150"/>
      <c r="AE51" s="151"/>
      <c r="AF51" s="149"/>
      <c r="AG51" s="150"/>
      <c r="AH51" s="150"/>
      <c r="AI51" s="151"/>
      <c r="AJ51" s="149"/>
      <c r="AK51" s="150"/>
      <c r="AL51" s="150"/>
      <c r="AM51" s="151"/>
      <c r="AN51" s="149"/>
      <c r="AO51" s="150"/>
      <c r="AP51" s="150"/>
      <c r="AQ51" s="151"/>
      <c r="AR51" s="149"/>
      <c r="AS51" s="150"/>
      <c r="AT51" s="150"/>
      <c r="AU51" s="151"/>
      <c r="AV51" s="146">
        <v>4</v>
      </c>
      <c r="AW51" s="147">
        <v>4</v>
      </c>
      <c r="AX51" s="147">
        <v>4</v>
      </c>
      <c r="AY51" s="148">
        <v>4</v>
      </c>
      <c r="AZ51" s="146">
        <v>4</v>
      </c>
      <c r="BA51" s="147">
        <v>4</v>
      </c>
      <c r="BB51" s="147">
        <v>4</v>
      </c>
      <c r="BC51" s="148">
        <v>4</v>
      </c>
      <c r="BD51" s="146">
        <v>4</v>
      </c>
      <c r="BE51" s="147">
        <v>4</v>
      </c>
      <c r="BF51" s="147">
        <v>4</v>
      </c>
      <c r="BG51" s="148">
        <v>4</v>
      </c>
      <c r="BH51" s="146">
        <v>4</v>
      </c>
      <c r="BI51" s="147">
        <v>4</v>
      </c>
      <c r="BJ51" s="147">
        <v>4</v>
      </c>
      <c r="BK51" s="148">
        <v>4</v>
      </c>
      <c r="BL51" s="149"/>
      <c r="BM51" s="150"/>
      <c r="BN51" s="150"/>
      <c r="BO51" s="151"/>
      <c r="BP51" s="77"/>
      <c r="BQ51" s="78"/>
    </row>
    <row r="52" spans="1:69" s="6" customFormat="1" ht="15.75" thickBot="1" x14ac:dyDescent="0.3">
      <c r="A52" s="362"/>
      <c r="B52" s="318"/>
      <c r="C52" s="279"/>
      <c r="D52" s="279"/>
      <c r="E52" s="279"/>
      <c r="F52" s="281"/>
      <c r="G52" s="281"/>
      <c r="H52" s="283"/>
      <c r="I52" s="285"/>
      <c r="J52" s="302"/>
      <c r="K52" s="320"/>
      <c r="L52" s="324"/>
      <c r="M52" s="271"/>
      <c r="N52" s="271"/>
      <c r="O52" s="48" t="s">
        <v>27</v>
      </c>
      <c r="P52" s="79"/>
      <c r="Q52" s="80"/>
      <c r="R52" s="80"/>
      <c r="S52" s="81"/>
      <c r="T52" s="79"/>
      <c r="U52" s="80"/>
      <c r="V52" s="80"/>
      <c r="W52" s="81"/>
      <c r="X52" s="79"/>
      <c r="Y52" s="153"/>
      <c r="Z52" s="153"/>
      <c r="AA52" s="154"/>
      <c r="AB52" s="152"/>
      <c r="AC52" s="153"/>
      <c r="AD52" s="153"/>
      <c r="AE52" s="154"/>
      <c r="AF52" s="152"/>
      <c r="AG52" s="153"/>
      <c r="AH52" s="153"/>
      <c r="AI52" s="154"/>
      <c r="AJ52" s="152"/>
      <c r="AK52" s="153"/>
      <c r="AL52" s="153"/>
      <c r="AM52" s="154"/>
      <c r="AN52" s="152"/>
      <c r="AO52" s="153"/>
      <c r="AP52" s="153"/>
      <c r="AQ52" s="154"/>
      <c r="AR52" s="152"/>
      <c r="AS52" s="153"/>
      <c r="AT52" s="153"/>
      <c r="AU52" s="154"/>
      <c r="AV52" s="152"/>
      <c r="AW52" s="153"/>
      <c r="AX52" s="153"/>
      <c r="AY52" s="154"/>
      <c r="AZ52" s="152"/>
      <c r="BA52" s="153"/>
      <c r="BB52" s="153"/>
      <c r="BC52" s="154"/>
      <c r="BD52" s="152"/>
      <c r="BE52" s="153"/>
      <c r="BF52" s="153"/>
      <c r="BG52" s="154"/>
      <c r="BH52" s="152"/>
      <c r="BI52" s="153"/>
      <c r="BJ52" s="153"/>
      <c r="BK52" s="154"/>
      <c r="BL52" s="152"/>
      <c r="BM52" s="153"/>
      <c r="BN52" s="153"/>
      <c r="BO52" s="154"/>
      <c r="BP52" s="82"/>
      <c r="BQ52" s="83"/>
    </row>
    <row r="53" spans="1:69" s="6" customFormat="1" x14ac:dyDescent="0.25">
      <c r="A53" s="361" t="s">
        <v>87</v>
      </c>
      <c r="B53" s="276" t="s">
        <v>35</v>
      </c>
      <c r="C53" s="278" t="s">
        <v>25</v>
      </c>
      <c r="D53" s="278" t="s">
        <v>119</v>
      </c>
      <c r="E53" s="278">
        <v>1</v>
      </c>
      <c r="F53" s="280">
        <f>G53</f>
        <v>1642.6008899999999</v>
      </c>
      <c r="G53" s="280">
        <f>1642600.89/1000</f>
        <v>1642.6008899999999</v>
      </c>
      <c r="H53" s="282">
        <f>G53/G76</f>
        <v>5.6864955806934835E-3</v>
      </c>
      <c r="I53" s="284">
        <v>0</v>
      </c>
      <c r="J53" s="301">
        <f t="shared" si="14"/>
        <v>0</v>
      </c>
      <c r="K53" s="319">
        <v>45108</v>
      </c>
      <c r="L53" s="323">
        <v>45168</v>
      </c>
      <c r="M53" s="270"/>
      <c r="N53" s="270"/>
      <c r="O53" s="47" t="s">
        <v>26</v>
      </c>
      <c r="P53" s="74"/>
      <c r="Q53" s="75"/>
      <c r="R53" s="75"/>
      <c r="S53" s="76"/>
      <c r="T53" s="74"/>
      <c r="U53" s="75"/>
      <c r="V53" s="75"/>
      <c r="W53" s="76"/>
      <c r="X53" s="74"/>
      <c r="Y53" s="150"/>
      <c r="Z53" s="150"/>
      <c r="AA53" s="151"/>
      <c r="AB53" s="149"/>
      <c r="AC53" s="150"/>
      <c r="AD53" s="150"/>
      <c r="AE53" s="151"/>
      <c r="AF53" s="149"/>
      <c r="AG53" s="150"/>
      <c r="AH53" s="150"/>
      <c r="AI53" s="151"/>
      <c r="AJ53" s="149"/>
      <c r="AK53" s="150"/>
      <c r="AL53" s="150"/>
      <c r="AM53" s="151"/>
      <c r="AN53" s="149"/>
      <c r="AO53" s="150"/>
      <c r="AP53" s="150"/>
      <c r="AQ53" s="151"/>
      <c r="AR53" s="149"/>
      <c r="AS53" s="150"/>
      <c r="AT53" s="150"/>
      <c r="AU53" s="151"/>
      <c r="AV53" s="149"/>
      <c r="AW53" s="150"/>
      <c r="AX53" s="150"/>
      <c r="AY53" s="151"/>
      <c r="AZ53" s="149"/>
      <c r="BA53" s="150"/>
      <c r="BB53" s="150"/>
      <c r="BC53" s="151"/>
      <c r="BD53" s="146">
        <v>2</v>
      </c>
      <c r="BE53" s="147">
        <v>2</v>
      </c>
      <c r="BF53" s="147">
        <v>2</v>
      </c>
      <c r="BG53" s="148">
        <v>2</v>
      </c>
      <c r="BH53" s="146">
        <v>2</v>
      </c>
      <c r="BI53" s="147">
        <v>2</v>
      </c>
      <c r="BJ53" s="147">
        <v>2</v>
      </c>
      <c r="BK53" s="148">
        <v>2</v>
      </c>
      <c r="BL53" s="149"/>
      <c r="BM53" s="150"/>
      <c r="BN53" s="150"/>
      <c r="BO53" s="151"/>
      <c r="BP53" s="77"/>
      <c r="BQ53" s="78"/>
    </row>
    <row r="54" spans="1:69" s="6" customFormat="1" ht="15.75" thickBot="1" x14ac:dyDescent="0.3">
      <c r="A54" s="362"/>
      <c r="B54" s="277"/>
      <c r="C54" s="279"/>
      <c r="D54" s="279"/>
      <c r="E54" s="279"/>
      <c r="F54" s="281"/>
      <c r="G54" s="281"/>
      <c r="H54" s="283"/>
      <c r="I54" s="285"/>
      <c r="J54" s="302"/>
      <c r="K54" s="320"/>
      <c r="L54" s="324"/>
      <c r="M54" s="271"/>
      <c r="N54" s="271"/>
      <c r="O54" s="48" t="s">
        <v>27</v>
      </c>
      <c r="P54" s="79"/>
      <c r="Q54" s="80"/>
      <c r="R54" s="80"/>
      <c r="S54" s="81"/>
      <c r="T54" s="79"/>
      <c r="U54" s="80"/>
      <c r="V54" s="80"/>
      <c r="W54" s="81"/>
      <c r="X54" s="79"/>
      <c r="Y54" s="153"/>
      <c r="Z54" s="153"/>
      <c r="AA54" s="154"/>
      <c r="AB54" s="152"/>
      <c r="AC54" s="153"/>
      <c r="AD54" s="153"/>
      <c r="AE54" s="154"/>
      <c r="AF54" s="152"/>
      <c r="AG54" s="153"/>
      <c r="AH54" s="153"/>
      <c r="AI54" s="154"/>
      <c r="AJ54" s="152"/>
      <c r="AK54" s="153"/>
      <c r="AL54" s="153"/>
      <c r="AM54" s="154"/>
      <c r="AN54" s="152"/>
      <c r="AO54" s="153"/>
      <c r="AP54" s="153"/>
      <c r="AQ54" s="154"/>
      <c r="AR54" s="152"/>
      <c r="AS54" s="153"/>
      <c r="AT54" s="153"/>
      <c r="AU54" s="154"/>
      <c r="AV54" s="152"/>
      <c r="AW54" s="153"/>
      <c r="AX54" s="153"/>
      <c r="AY54" s="154"/>
      <c r="AZ54" s="152"/>
      <c r="BA54" s="153"/>
      <c r="BB54" s="153"/>
      <c r="BC54" s="154"/>
      <c r="BD54" s="152"/>
      <c r="BE54" s="153"/>
      <c r="BF54" s="153"/>
      <c r="BG54" s="154"/>
      <c r="BH54" s="152"/>
      <c r="BI54" s="153"/>
      <c r="BJ54" s="153"/>
      <c r="BK54" s="154"/>
      <c r="BL54" s="152"/>
      <c r="BM54" s="153"/>
      <c r="BN54" s="153"/>
      <c r="BO54" s="154"/>
      <c r="BP54" s="82"/>
      <c r="BQ54" s="83"/>
    </row>
    <row r="55" spans="1:69" s="6" customFormat="1" x14ac:dyDescent="0.25">
      <c r="A55" s="361" t="s">
        <v>88</v>
      </c>
      <c r="B55" s="359" t="s">
        <v>103</v>
      </c>
      <c r="C55" s="278" t="s">
        <v>25</v>
      </c>
      <c r="D55" s="278" t="s">
        <v>119</v>
      </c>
      <c r="E55" s="278">
        <v>1</v>
      </c>
      <c r="F55" s="280">
        <f>G55</f>
        <v>70.042630000000003</v>
      </c>
      <c r="G55" s="280">
        <f>70042.63/1000</f>
        <v>70.042630000000003</v>
      </c>
      <c r="H55" s="282">
        <f>G55/G76</f>
        <v>2.4247953862678646E-4</v>
      </c>
      <c r="I55" s="284">
        <v>0</v>
      </c>
      <c r="J55" s="301">
        <f t="shared" si="14"/>
        <v>0</v>
      </c>
      <c r="K55" s="319">
        <v>45108</v>
      </c>
      <c r="L55" s="323">
        <v>45168</v>
      </c>
      <c r="M55" s="270"/>
      <c r="N55" s="270"/>
      <c r="O55" s="47" t="s">
        <v>26</v>
      </c>
      <c r="P55" s="74"/>
      <c r="Q55" s="75"/>
      <c r="R55" s="75"/>
      <c r="S55" s="76"/>
      <c r="T55" s="74"/>
      <c r="U55" s="75"/>
      <c r="V55" s="75"/>
      <c r="W55" s="76"/>
      <c r="X55" s="74"/>
      <c r="Y55" s="150"/>
      <c r="Z55" s="150"/>
      <c r="AA55" s="151"/>
      <c r="AB55" s="149"/>
      <c r="AC55" s="150"/>
      <c r="AD55" s="150"/>
      <c r="AE55" s="151"/>
      <c r="AF55" s="149"/>
      <c r="AG55" s="150"/>
      <c r="AH55" s="150"/>
      <c r="AI55" s="151"/>
      <c r="AJ55" s="149"/>
      <c r="AK55" s="150"/>
      <c r="AL55" s="150"/>
      <c r="AM55" s="151"/>
      <c r="AN55" s="149"/>
      <c r="AO55" s="150"/>
      <c r="AP55" s="150"/>
      <c r="AQ55" s="151"/>
      <c r="AR55" s="149"/>
      <c r="AS55" s="150"/>
      <c r="AT55" s="150"/>
      <c r="AU55" s="151"/>
      <c r="AV55" s="149"/>
      <c r="AW55" s="150"/>
      <c r="AX55" s="150"/>
      <c r="AY55" s="151"/>
      <c r="AZ55" s="149"/>
      <c r="BA55" s="150"/>
      <c r="BB55" s="150"/>
      <c r="BC55" s="151"/>
      <c r="BD55" s="146">
        <v>2</v>
      </c>
      <c r="BE55" s="147">
        <v>2</v>
      </c>
      <c r="BF55" s="147">
        <v>2</v>
      </c>
      <c r="BG55" s="148">
        <v>2</v>
      </c>
      <c r="BH55" s="146">
        <v>2</v>
      </c>
      <c r="BI55" s="147">
        <v>2</v>
      </c>
      <c r="BJ55" s="147">
        <v>2</v>
      </c>
      <c r="BK55" s="148">
        <v>2</v>
      </c>
      <c r="BL55" s="149"/>
      <c r="BM55" s="150"/>
      <c r="BN55" s="150"/>
      <c r="BO55" s="151"/>
      <c r="BP55" s="77"/>
      <c r="BQ55" s="78"/>
    </row>
    <row r="56" spans="1:69" s="6" customFormat="1" ht="15.75" thickBot="1" x14ac:dyDescent="0.3">
      <c r="A56" s="362"/>
      <c r="B56" s="360"/>
      <c r="C56" s="279"/>
      <c r="D56" s="279"/>
      <c r="E56" s="279"/>
      <c r="F56" s="281"/>
      <c r="G56" s="281"/>
      <c r="H56" s="283"/>
      <c r="I56" s="285"/>
      <c r="J56" s="302"/>
      <c r="K56" s="320"/>
      <c r="L56" s="324"/>
      <c r="M56" s="271"/>
      <c r="N56" s="271"/>
      <c r="O56" s="48" t="s">
        <v>27</v>
      </c>
      <c r="P56" s="79"/>
      <c r="Q56" s="80"/>
      <c r="R56" s="80"/>
      <c r="S56" s="81"/>
      <c r="T56" s="79"/>
      <c r="U56" s="80"/>
      <c r="V56" s="80"/>
      <c r="W56" s="81"/>
      <c r="X56" s="79"/>
      <c r="Y56" s="153"/>
      <c r="Z56" s="153"/>
      <c r="AA56" s="154"/>
      <c r="AB56" s="152"/>
      <c r="AC56" s="153"/>
      <c r="AD56" s="153"/>
      <c r="AE56" s="154"/>
      <c r="AF56" s="152"/>
      <c r="AG56" s="153"/>
      <c r="AH56" s="153"/>
      <c r="AI56" s="154"/>
      <c r="AJ56" s="152"/>
      <c r="AK56" s="153"/>
      <c r="AL56" s="153"/>
      <c r="AM56" s="154"/>
      <c r="AN56" s="152"/>
      <c r="AO56" s="153"/>
      <c r="AP56" s="153"/>
      <c r="AQ56" s="154"/>
      <c r="AR56" s="152"/>
      <c r="AS56" s="153"/>
      <c r="AT56" s="153"/>
      <c r="AU56" s="154"/>
      <c r="AV56" s="152"/>
      <c r="AW56" s="153"/>
      <c r="AX56" s="153"/>
      <c r="AY56" s="154"/>
      <c r="AZ56" s="152"/>
      <c r="BA56" s="153"/>
      <c r="BB56" s="153"/>
      <c r="BC56" s="154"/>
      <c r="BD56" s="152"/>
      <c r="BE56" s="153"/>
      <c r="BF56" s="153"/>
      <c r="BG56" s="154"/>
      <c r="BH56" s="152"/>
      <c r="BI56" s="153"/>
      <c r="BJ56" s="153"/>
      <c r="BK56" s="154"/>
      <c r="BL56" s="152"/>
      <c r="BM56" s="153"/>
      <c r="BN56" s="153"/>
      <c r="BO56" s="154"/>
      <c r="BP56" s="82"/>
      <c r="BQ56" s="83"/>
    </row>
    <row r="57" spans="1:69" s="16" customFormat="1" ht="17.25" customHeight="1" thickBot="1" x14ac:dyDescent="0.25">
      <c r="A57" s="97" t="s">
        <v>17</v>
      </c>
      <c r="B57" s="91" t="s">
        <v>14</v>
      </c>
      <c r="C57" s="59"/>
      <c r="D57" s="59"/>
      <c r="E57" s="59"/>
      <c r="F57" s="144"/>
      <c r="G57" s="144"/>
      <c r="H57" s="59"/>
      <c r="I57" s="59"/>
      <c r="J57" s="59"/>
      <c r="K57" s="232">
        <v>45139</v>
      </c>
      <c r="L57" s="71">
        <v>45168</v>
      </c>
      <c r="M57" s="91"/>
      <c r="N57" s="91"/>
      <c r="O57" s="51"/>
      <c r="P57" s="92"/>
      <c r="Q57" s="93"/>
      <c r="R57" s="93"/>
      <c r="S57" s="94"/>
      <c r="T57" s="92"/>
      <c r="U57" s="93"/>
      <c r="V57" s="93"/>
      <c r="W57" s="94"/>
      <c r="X57" s="92"/>
      <c r="Y57" s="162"/>
      <c r="Z57" s="162"/>
      <c r="AA57" s="163"/>
      <c r="AB57" s="161"/>
      <c r="AC57" s="162"/>
      <c r="AD57" s="162"/>
      <c r="AE57" s="163"/>
      <c r="AF57" s="161"/>
      <c r="AG57" s="162"/>
      <c r="AH57" s="162"/>
      <c r="AI57" s="163"/>
      <c r="AJ57" s="161"/>
      <c r="AK57" s="162"/>
      <c r="AL57" s="162"/>
      <c r="AM57" s="163"/>
      <c r="AN57" s="161"/>
      <c r="AO57" s="162"/>
      <c r="AP57" s="162"/>
      <c r="AQ57" s="163"/>
      <c r="AR57" s="161"/>
      <c r="AS57" s="162"/>
      <c r="AT57" s="162"/>
      <c r="AU57" s="163"/>
      <c r="AV57" s="161"/>
      <c r="AW57" s="162"/>
      <c r="AX57" s="162"/>
      <c r="AY57" s="163"/>
      <c r="AZ57" s="161"/>
      <c r="BA57" s="162"/>
      <c r="BB57" s="162"/>
      <c r="BC57" s="163"/>
      <c r="BD57" s="161"/>
      <c r="BE57" s="162"/>
      <c r="BF57" s="162"/>
      <c r="BG57" s="163"/>
      <c r="BH57" s="161"/>
      <c r="BI57" s="162"/>
      <c r="BJ57" s="162"/>
      <c r="BK57" s="163"/>
      <c r="BL57" s="161"/>
      <c r="BM57" s="162"/>
      <c r="BN57" s="162"/>
      <c r="BO57" s="163"/>
      <c r="BP57" s="95"/>
      <c r="BQ57" s="96"/>
    </row>
    <row r="58" spans="1:69" s="6" customFormat="1" ht="17.25" customHeight="1" x14ac:dyDescent="0.25">
      <c r="A58" s="361" t="s">
        <v>89</v>
      </c>
      <c r="B58" s="276" t="s">
        <v>37</v>
      </c>
      <c r="C58" s="278" t="s">
        <v>25</v>
      </c>
      <c r="D58" s="278" t="s">
        <v>119</v>
      </c>
      <c r="E58" s="278">
        <v>1</v>
      </c>
      <c r="F58" s="280">
        <f>G58</f>
        <v>1331.4828</v>
      </c>
      <c r="G58" s="280">
        <f>1331482.8/1000</f>
        <v>1331.4828</v>
      </c>
      <c r="H58" s="282">
        <f>G58/G76</f>
        <v>4.6094404940748481E-3</v>
      </c>
      <c r="I58" s="284">
        <v>0</v>
      </c>
      <c r="J58" s="301">
        <f t="shared" ref="J58:J62" si="15">I58*H58</f>
        <v>0</v>
      </c>
      <c r="K58" s="319">
        <v>45139</v>
      </c>
      <c r="L58" s="323">
        <v>45168</v>
      </c>
      <c r="M58" s="270"/>
      <c r="N58" s="270"/>
      <c r="O58" s="47" t="s">
        <v>26</v>
      </c>
      <c r="P58" s="74"/>
      <c r="Q58" s="75"/>
      <c r="R58" s="75"/>
      <c r="S58" s="76"/>
      <c r="T58" s="74"/>
      <c r="U58" s="75"/>
      <c r="V58" s="75"/>
      <c r="W58" s="76"/>
      <c r="X58" s="74"/>
      <c r="Y58" s="150"/>
      <c r="Z58" s="150"/>
      <c r="AA58" s="151"/>
      <c r="AB58" s="149"/>
      <c r="AC58" s="150"/>
      <c r="AD58" s="150"/>
      <c r="AE58" s="151"/>
      <c r="AF58" s="149"/>
      <c r="AG58" s="150"/>
      <c r="AH58" s="150"/>
      <c r="AI58" s="151"/>
      <c r="AJ58" s="149"/>
      <c r="AK58" s="150"/>
      <c r="AL58" s="150"/>
      <c r="AM58" s="151"/>
      <c r="AN58" s="149"/>
      <c r="AO58" s="150"/>
      <c r="AP58" s="150"/>
      <c r="AQ58" s="151"/>
      <c r="AR58" s="149"/>
      <c r="AS58" s="150"/>
      <c r="AT58" s="150"/>
      <c r="AU58" s="151"/>
      <c r="AV58" s="149"/>
      <c r="AW58" s="150"/>
      <c r="AX58" s="150"/>
      <c r="AY58" s="151"/>
      <c r="AZ58" s="149"/>
      <c r="BA58" s="150"/>
      <c r="BB58" s="150"/>
      <c r="BC58" s="151"/>
      <c r="BD58" s="149"/>
      <c r="BE58" s="150"/>
      <c r="BF58" s="150"/>
      <c r="BG58" s="151"/>
      <c r="BH58" s="146">
        <v>2</v>
      </c>
      <c r="BI58" s="147">
        <v>2</v>
      </c>
      <c r="BJ58" s="147">
        <v>2</v>
      </c>
      <c r="BK58" s="148">
        <v>2</v>
      </c>
      <c r="BL58" s="149"/>
      <c r="BM58" s="150"/>
      <c r="BN58" s="150"/>
      <c r="BO58" s="151"/>
      <c r="BP58" s="77"/>
      <c r="BQ58" s="78"/>
    </row>
    <row r="59" spans="1:69" s="6" customFormat="1" ht="15.75" thickBot="1" x14ac:dyDescent="0.3">
      <c r="A59" s="362"/>
      <c r="B59" s="277"/>
      <c r="C59" s="279"/>
      <c r="D59" s="279"/>
      <c r="E59" s="279"/>
      <c r="F59" s="281"/>
      <c r="G59" s="281"/>
      <c r="H59" s="283"/>
      <c r="I59" s="285"/>
      <c r="J59" s="302"/>
      <c r="K59" s="320"/>
      <c r="L59" s="324"/>
      <c r="M59" s="271"/>
      <c r="N59" s="271"/>
      <c r="O59" s="48" t="s">
        <v>27</v>
      </c>
      <c r="P59" s="79"/>
      <c r="Q59" s="80"/>
      <c r="R59" s="80"/>
      <c r="S59" s="81"/>
      <c r="T59" s="79"/>
      <c r="U59" s="80"/>
      <c r="V59" s="80"/>
      <c r="W59" s="81"/>
      <c r="X59" s="79"/>
      <c r="Y59" s="153"/>
      <c r="Z59" s="153"/>
      <c r="AA59" s="154"/>
      <c r="AB59" s="152"/>
      <c r="AC59" s="153"/>
      <c r="AD59" s="153"/>
      <c r="AE59" s="154"/>
      <c r="AF59" s="152"/>
      <c r="AG59" s="153"/>
      <c r="AH59" s="153"/>
      <c r="AI59" s="154"/>
      <c r="AJ59" s="152"/>
      <c r="AK59" s="153"/>
      <c r="AL59" s="153"/>
      <c r="AM59" s="154"/>
      <c r="AN59" s="152"/>
      <c r="AO59" s="153"/>
      <c r="AP59" s="153"/>
      <c r="AQ59" s="154"/>
      <c r="AR59" s="152"/>
      <c r="AS59" s="153"/>
      <c r="AT59" s="153"/>
      <c r="AU59" s="154"/>
      <c r="AV59" s="152"/>
      <c r="AW59" s="153"/>
      <c r="AX59" s="153"/>
      <c r="AY59" s="154"/>
      <c r="AZ59" s="152"/>
      <c r="BA59" s="153"/>
      <c r="BB59" s="153"/>
      <c r="BC59" s="154"/>
      <c r="BD59" s="152"/>
      <c r="BE59" s="153"/>
      <c r="BF59" s="153"/>
      <c r="BG59" s="154"/>
      <c r="BH59" s="152"/>
      <c r="BI59" s="153"/>
      <c r="BJ59" s="153"/>
      <c r="BK59" s="154"/>
      <c r="BL59" s="152"/>
      <c r="BM59" s="153"/>
      <c r="BN59" s="153"/>
      <c r="BO59" s="154"/>
      <c r="BP59" s="82"/>
      <c r="BQ59" s="83"/>
    </row>
    <row r="60" spans="1:69" s="6" customFormat="1" x14ac:dyDescent="0.25">
      <c r="A60" s="361" t="s">
        <v>90</v>
      </c>
      <c r="B60" s="276" t="s">
        <v>112</v>
      </c>
      <c r="C60" s="278" t="s">
        <v>25</v>
      </c>
      <c r="D60" s="278" t="s">
        <v>119</v>
      </c>
      <c r="E60" s="278">
        <v>1</v>
      </c>
      <c r="F60" s="280">
        <f>G60</f>
        <v>16688.47406</v>
      </c>
      <c r="G60" s="280">
        <f>(15776080.74+137300.95+599073.07+176019.3)/1000</f>
        <v>16688.47406</v>
      </c>
      <c r="H60" s="282">
        <f>G60/G76</f>
        <v>5.7773580039097536E-2</v>
      </c>
      <c r="I60" s="284">
        <v>0</v>
      </c>
      <c r="J60" s="301">
        <f t="shared" si="15"/>
        <v>0</v>
      </c>
      <c r="K60" s="319">
        <v>45139</v>
      </c>
      <c r="L60" s="323">
        <v>45168</v>
      </c>
      <c r="M60" s="270"/>
      <c r="N60" s="270"/>
      <c r="O60" s="47" t="s">
        <v>26</v>
      </c>
      <c r="P60" s="74"/>
      <c r="Q60" s="75"/>
      <c r="R60" s="75"/>
      <c r="S60" s="76"/>
      <c r="T60" s="74"/>
      <c r="U60" s="75"/>
      <c r="V60" s="75"/>
      <c r="W60" s="76"/>
      <c r="X60" s="74"/>
      <c r="Y60" s="150"/>
      <c r="Z60" s="150"/>
      <c r="AA60" s="151"/>
      <c r="AB60" s="149"/>
      <c r="AC60" s="150"/>
      <c r="AD60" s="150"/>
      <c r="AE60" s="151"/>
      <c r="AF60" s="149"/>
      <c r="AG60" s="150"/>
      <c r="AH60" s="150"/>
      <c r="AI60" s="151"/>
      <c r="AJ60" s="149"/>
      <c r="AK60" s="150"/>
      <c r="AL60" s="150"/>
      <c r="AM60" s="151"/>
      <c r="AN60" s="149"/>
      <c r="AO60" s="150"/>
      <c r="AP60" s="150"/>
      <c r="AQ60" s="151"/>
      <c r="AR60" s="149"/>
      <c r="AS60" s="150"/>
      <c r="AT60" s="150"/>
      <c r="AU60" s="151"/>
      <c r="AV60" s="149"/>
      <c r="AW60" s="150"/>
      <c r="AX60" s="150"/>
      <c r="AY60" s="151"/>
      <c r="AZ60" s="149"/>
      <c r="BA60" s="150"/>
      <c r="BB60" s="150"/>
      <c r="BC60" s="151"/>
      <c r="BD60" s="149"/>
      <c r="BE60" s="150"/>
      <c r="BF60" s="150"/>
      <c r="BG60" s="151"/>
      <c r="BH60" s="146">
        <v>4</v>
      </c>
      <c r="BI60" s="147">
        <v>4</v>
      </c>
      <c r="BJ60" s="147">
        <v>4</v>
      </c>
      <c r="BK60" s="148">
        <v>4</v>
      </c>
      <c r="BL60" s="149"/>
      <c r="BM60" s="150"/>
      <c r="BN60" s="150"/>
      <c r="BO60" s="151"/>
      <c r="BP60" s="77"/>
      <c r="BQ60" s="78"/>
    </row>
    <row r="61" spans="1:69" s="6" customFormat="1" ht="33.75" customHeight="1" thickBot="1" x14ac:dyDescent="0.3">
      <c r="A61" s="362"/>
      <c r="B61" s="277"/>
      <c r="C61" s="279"/>
      <c r="D61" s="279"/>
      <c r="E61" s="279"/>
      <c r="F61" s="281"/>
      <c r="G61" s="281"/>
      <c r="H61" s="283"/>
      <c r="I61" s="285"/>
      <c r="J61" s="302"/>
      <c r="K61" s="320"/>
      <c r="L61" s="324"/>
      <c r="M61" s="271"/>
      <c r="N61" s="271"/>
      <c r="O61" s="48" t="s">
        <v>27</v>
      </c>
      <c r="P61" s="79"/>
      <c r="Q61" s="80"/>
      <c r="R61" s="80"/>
      <c r="S61" s="81"/>
      <c r="T61" s="79"/>
      <c r="U61" s="80"/>
      <c r="V61" s="80"/>
      <c r="W61" s="81"/>
      <c r="X61" s="79"/>
      <c r="Y61" s="153"/>
      <c r="Z61" s="153"/>
      <c r="AA61" s="154"/>
      <c r="AB61" s="152"/>
      <c r="AC61" s="153"/>
      <c r="AD61" s="153"/>
      <c r="AE61" s="154"/>
      <c r="AF61" s="152"/>
      <c r="AG61" s="153"/>
      <c r="AH61" s="153"/>
      <c r="AI61" s="154"/>
      <c r="AJ61" s="152"/>
      <c r="AK61" s="153"/>
      <c r="AL61" s="153"/>
      <c r="AM61" s="154"/>
      <c r="AN61" s="152"/>
      <c r="AO61" s="153"/>
      <c r="AP61" s="153"/>
      <c r="AQ61" s="154"/>
      <c r="AR61" s="152"/>
      <c r="AS61" s="153"/>
      <c r="AT61" s="153"/>
      <c r="AU61" s="154"/>
      <c r="AV61" s="152"/>
      <c r="AW61" s="153"/>
      <c r="AX61" s="153"/>
      <c r="AY61" s="154"/>
      <c r="AZ61" s="152"/>
      <c r="BA61" s="153"/>
      <c r="BB61" s="153"/>
      <c r="BC61" s="154"/>
      <c r="BD61" s="152"/>
      <c r="BE61" s="153"/>
      <c r="BF61" s="153"/>
      <c r="BG61" s="154"/>
      <c r="BH61" s="152"/>
      <c r="BI61" s="153"/>
      <c r="BJ61" s="153"/>
      <c r="BK61" s="154"/>
      <c r="BL61" s="152"/>
      <c r="BM61" s="153"/>
      <c r="BN61" s="153"/>
      <c r="BO61" s="154"/>
      <c r="BP61" s="82"/>
      <c r="BQ61" s="83"/>
    </row>
    <row r="62" spans="1:69" s="6" customFormat="1" x14ac:dyDescent="0.25">
      <c r="A62" s="361" t="s">
        <v>91</v>
      </c>
      <c r="B62" s="276" t="s">
        <v>62</v>
      </c>
      <c r="C62" s="278" t="s">
        <v>25</v>
      </c>
      <c r="D62" s="278" t="s">
        <v>119</v>
      </c>
      <c r="E62" s="278">
        <v>1</v>
      </c>
      <c r="F62" s="280">
        <f>G62</f>
        <v>1643.5953300000001</v>
      </c>
      <c r="G62" s="280">
        <f>1643595.33/1000</f>
        <v>1643.5953300000001</v>
      </c>
      <c r="H62" s="282">
        <f>G62/G76</f>
        <v>5.689938217733127E-3</v>
      </c>
      <c r="I62" s="284">
        <v>0</v>
      </c>
      <c r="J62" s="301">
        <f t="shared" si="15"/>
        <v>0</v>
      </c>
      <c r="K62" s="319">
        <v>45139</v>
      </c>
      <c r="L62" s="323">
        <v>45168</v>
      </c>
      <c r="M62" s="270"/>
      <c r="N62" s="270"/>
      <c r="O62" s="47" t="s">
        <v>26</v>
      </c>
      <c r="P62" s="74"/>
      <c r="Q62" s="75"/>
      <c r="R62" s="75"/>
      <c r="S62" s="76"/>
      <c r="T62" s="74"/>
      <c r="U62" s="75"/>
      <c r="V62" s="75"/>
      <c r="W62" s="76"/>
      <c r="X62" s="74"/>
      <c r="Y62" s="150"/>
      <c r="Z62" s="150"/>
      <c r="AA62" s="151"/>
      <c r="AB62" s="149"/>
      <c r="AC62" s="150"/>
      <c r="AD62" s="150"/>
      <c r="AE62" s="151"/>
      <c r="AF62" s="149"/>
      <c r="AG62" s="150"/>
      <c r="AH62" s="150"/>
      <c r="AI62" s="151"/>
      <c r="AJ62" s="149"/>
      <c r="AK62" s="150"/>
      <c r="AL62" s="150"/>
      <c r="AM62" s="151"/>
      <c r="AN62" s="149"/>
      <c r="AO62" s="150"/>
      <c r="AP62" s="150"/>
      <c r="AQ62" s="151"/>
      <c r="AR62" s="149"/>
      <c r="AS62" s="150"/>
      <c r="AT62" s="150"/>
      <c r="AU62" s="151"/>
      <c r="AV62" s="149"/>
      <c r="AW62" s="150"/>
      <c r="AX62" s="150"/>
      <c r="AY62" s="151"/>
      <c r="AZ62" s="149"/>
      <c r="BA62" s="150"/>
      <c r="BB62" s="150"/>
      <c r="BC62" s="151"/>
      <c r="BD62" s="149"/>
      <c r="BE62" s="150"/>
      <c r="BF62" s="150"/>
      <c r="BG62" s="151"/>
      <c r="BH62" s="146">
        <v>3</v>
      </c>
      <c r="BI62" s="147">
        <v>3</v>
      </c>
      <c r="BJ62" s="147">
        <v>3</v>
      </c>
      <c r="BK62" s="148">
        <v>3</v>
      </c>
      <c r="BL62" s="149"/>
      <c r="BM62" s="150"/>
      <c r="BN62" s="150"/>
      <c r="BO62" s="151"/>
      <c r="BP62" s="77"/>
      <c r="BQ62" s="78"/>
    </row>
    <row r="63" spans="1:69" s="6" customFormat="1" ht="15.75" thickBot="1" x14ac:dyDescent="0.3">
      <c r="A63" s="362"/>
      <c r="B63" s="277"/>
      <c r="C63" s="279"/>
      <c r="D63" s="279"/>
      <c r="E63" s="279"/>
      <c r="F63" s="281"/>
      <c r="G63" s="281"/>
      <c r="H63" s="283"/>
      <c r="I63" s="285"/>
      <c r="J63" s="302"/>
      <c r="K63" s="320"/>
      <c r="L63" s="324"/>
      <c r="M63" s="271"/>
      <c r="N63" s="271"/>
      <c r="O63" s="48" t="s">
        <v>27</v>
      </c>
      <c r="P63" s="79"/>
      <c r="Q63" s="80"/>
      <c r="R63" s="80"/>
      <c r="S63" s="81"/>
      <c r="T63" s="79"/>
      <c r="U63" s="80"/>
      <c r="V63" s="80"/>
      <c r="W63" s="81"/>
      <c r="X63" s="79"/>
      <c r="Y63" s="153"/>
      <c r="Z63" s="153"/>
      <c r="AA63" s="154"/>
      <c r="AB63" s="152"/>
      <c r="AC63" s="153"/>
      <c r="AD63" s="153"/>
      <c r="AE63" s="154"/>
      <c r="AF63" s="152"/>
      <c r="AG63" s="153"/>
      <c r="AH63" s="153"/>
      <c r="AI63" s="154"/>
      <c r="AJ63" s="152"/>
      <c r="AK63" s="153"/>
      <c r="AL63" s="153"/>
      <c r="AM63" s="154"/>
      <c r="AN63" s="152"/>
      <c r="AO63" s="153"/>
      <c r="AP63" s="153"/>
      <c r="AQ63" s="154"/>
      <c r="AR63" s="152"/>
      <c r="AS63" s="153"/>
      <c r="AT63" s="153"/>
      <c r="AU63" s="154"/>
      <c r="AV63" s="152"/>
      <c r="AW63" s="153"/>
      <c r="AX63" s="153"/>
      <c r="AY63" s="154"/>
      <c r="AZ63" s="152"/>
      <c r="BA63" s="153"/>
      <c r="BB63" s="153"/>
      <c r="BC63" s="154"/>
      <c r="BD63" s="152"/>
      <c r="BE63" s="153"/>
      <c r="BF63" s="153"/>
      <c r="BG63" s="154"/>
      <c r="BH63" s="152"/>
      <c r="BI63" s="153"/>
      <c r="BJ63" s="153"/>
      <c r="BK63" s="154"/>
      <c r="BL63" s="152"/>
      <c r="BM63" s="153"/>
      <c r="BN63" s="153"/>
      <c r="BO63" s="154"/>
      <c r="BP63" s="82"/>
      <c r="BQ63" s="83"/>
    </row>
    <row r="64" spans="1:69" s="202" customFormat="1" x14ac:dyDescent="0.25">
      <c r="A64" s="274" t="s">
        <v>126</v>
      </c>
      <c r="B64" s="276" t="s">
        <v>127</v>
      </c>
      <c r="C64" s="278" t="s">
        <v>25</v>
      </c>
      <c r="D64" s="278" t="s">
        <v>119</v>
      </c>
      <c r="E64" s="278">
        <v>1</v>
      </c>
      <c r="F64" s="280">
        <f>G64</f>
        <v>2897.6019999999999</v>
      </c>
      <c r="G64" s="280">
        <v>2897.6019999999999</v>
      </c>
      <c r="H64" s="282">
        <f>G64/G76</f>
        <v>1.0031165250134864E-2</v>
      </c>
      <c r="I64" s="284">
        <v>0</v>
      </c>
      <c r="J64" s="301">
        <f t="shared" ref="J64" si="16">I64*H64</f>
        <v>0</v>
      </c>
      <c r="K64" s="268">
        <v>45170</v>
      </c>
      <c r="L64" s="323">
        <v>45168</v>
      </c>
      <c r="M64" s="270"/>
      <c r="N64" s="272"/>
      <c r="O64" s="47" t="s">
        <v>26</v>
      </c>
      <c r="P64" s="197"/>
      <c r="Q64" s="198"/>
      <c r="R64" s="198"/>
      <c r="S64" s="199"/>
      <c r="T64" s="197"/>
      <c r="U64" s="198"/>
      <c r="V64" s="198"/>
      <c r="W64" s="199"/>
      <c r="X64" s="197"/>
      <c r="Y64" s="198"/>
      <c r="Z64" s="198"/>
      <c r="AA64" s="199"/>
      <c r="AB64" s="197"/>
      <c r="AC64" s="198"/>
      <c r="AD64" s="198"/>
      <c r="AE64" s="199"/>
      <c r="AF64" s="197"/>
      <c r="AG64" s="198"/>
      <c r="AH64" s="198"/>
      <c r="AI64" s="199"/>
      <c r="AJ64" s="197"/>
      <c r="AK64" s="198"/>
      <c r="AL64" s="198"/>
      <c r="AM64" s="199"/>
      <c r="AN64" s="197"/>
      <c r="AO64" s="198"/>
      <c r="AP64" s="198"/>
      <c r="AQ64" s="199"/>
      <c r="AR64" s="197"/>
      <c r="AS64" s="198"/>
      <c r="AT64" s="198"/>
      <c r="AU64" s="199"/>
      <c r="AV64" s="197"/>
      <c r="AW64" s="198"/>
      <c r="AX64" s="198"/>
      <c r="AY64" s="199"/>
      <c r="AZ64" s="197"/>
      <c r="BA64" s="198"/>
      <c r="BB64" s="198"/>
      <c r="BC64" s="199"/>
      <c r="BD64" s="197"/>
      <c r="BE64" s="198"/>
      <c r="BF64" s="198"/>
      <c r="BG64" s="199"/>
      <c r="BH64" s="146">
        <v>4</v>
      </c>
      <c r="BI64" s="147">
        <v>4</v>
      </c>
      <c r="BJ64" s="147">
        <v>4</v>
      </c>
      <c r="BK64" s="148">
        <v>4</v>
      </c>
      <c r="BL64" s="149"/>
      <c r="BM64" s="150"/>
      <c r="BN64" s="150"/>
      <c r="BO64" s="151"/>
      <c r="BP64" s="200"/>
      <c r="BQ64" s="201"/>
    </row>
    <row r="65" spans="1:69" s="202" customFormat="1" ht="15.75" thickBot="1" x14ac:dyDescent="0.3">
      <c r="A65" s="275"/>
      <c r="B65" s="277"/>
      <c r="C65" s="279"/>
      <c r="D65" s="279"/>
      <c r="E65" s="279"/>
      <c r="F65" s="281"/>
      <c r="G65" s="281"/>
      <c r="H65" s="283"/>
      <c r="I65" s="285"/>
      <c r="J65" s="302"/>
      <c r="K65" s="269"/>
      <c r="L65" s="324"/>
      <c r="M65" s="271"/>
      <c r="N65" s="273"/>
      <c r="O65" s="48" t="s">
        <v>27</v>
      </c>
      <c r="P65" s="203"/>
      <c r="Q65" s="204"/>
      <c r="R65" s="204"/>
      <c r="S65" s="205"/>
      <c r="T65" s="203"/>
      <c r="U65" s="204"/>
      <c r="V65" s="204"/>
      <c r="W65" s="205"/>
      <c r="X65" s="203"/>
      <c r="Y65" s="204"/>
      <c r="Z65" s="204"/>
      <c r="AA65" s="205"/>
      <c r="AB65" s="203"/>
      <c r="AC65" s="204"/>
      <c r="AD65" s="204"/>
      <c r="AE65" s="205"/>
      <c r="AF65" s="203"/>
      <c r="AG65" s="204"/>
      <c r="AH65" s="204"/>
      <c r="AI65" s="205"/>
      <c r="AJ65" s="203"/>
      <c r="AK65" s="204"/>
      <c r="AL65" s="204"/>
      <c r="AM65" s="205"/>
      <c r="AN65" s="203"/>
      <c r="AO65" s="204"/>
      <c r="AP65" s="204"/>
      <c r="AQ65" s="205"/>
      <c r="AR65" s="203"/>
      <c r="AS65" s="204"/>
      <c r="AT65" s="204"/>
      <c r="AU65" s="205"/>
      <c r="AV65" s="203"/>
      <c r="AW65" s="204"/>
      <c r="AX65" s="204"/>
      <c r="AY65" s="205"/>
      <c r="AZ65" s="203"/>
      <c r="BA65" s="204"/>
      <c r="BB65" s="204"/>
      <c r="BC65" s="205"/>
      <c r="BD65" s="203"/>
      <c r="BE65" s="204"/>
      <c r="BF65" s="204"/>
      <c r="BG65" s="205"/>
      <c r="BH65" s="203"/>
      <c r="BI65" s="204"/>
      <c r="BJ65" s="204"/>
      <c r="BK65" s="205"/>
      <c r="BL65" s="203"/>
      <c r="BM65" s="204"/>
      <c r="BN65" s="204"/>
      <c r="BO65" s="205"/>
      <c r="BP65" s="206"/>
      <c r="BQ65" s="207"/>
    </row>
    <row r="66" spans="1:69" s="17" customFormat="1" ht="15.75" thickBot="1" x14ac:dyDescent="0.3">
      <c r="A66" s="233">
        <v>2</v>
      </c>
      <c r="B66" s="234" t="s">
        <v>20</v>
      </c>
      <c r="C66" s="235"/>
      <c r="D66" s="235"/>
      <c r="E66" s="235"/>
      <c r="F66" s="236"/>
      <c r="G66" s="236"/>
      <c r="H66" s="235"/>
      <c r="I66" s="235"/>
      <c r="J66" s="235"/>
      <c r="K66" s="237">
        <v>45139</v>
      </c>
      <c r="L66" s="237">
        <v>45189</v>
      </c>
      <c r="M66" s="235"/>
      <c r="N66" s="235"/>
      <c r="O66" s="238"/>
      <c r="P66" s="239"/>
      <c r="Q66" s="240"/>
      <c r="R66" s="240"/>
      <c r="S66" s="241"/>
      <c r="T66" s="239"/>
      <c r="U66" s="240"/>
      <c r="V66" s="240"/>
      <c r="W66" s="241"/>
      <c r="X66" s="239"/>
      <c r="Y66" s="242"/>
      <c r="Z66" s="242"/>
      <c r="AA66" s="243"/>
      <c r="AB66" s="244"/>
      <c r="AC66" s="242"/>
      <c r="AD66" s="242"/>
      <c r="AE66" s="243"/>
      <c r="AF66" s="244"/>
      <c r="AG66" s="242"/>
      <c r="AH66" s="242"/>
      <c r="AI66" s="243"/>
      <c r="AJ66" s="244"/>
      <c r="AK66" s="242"/>
      <c r="AL66" s="242"/>
      <c r="AM66" s="243"/>
      <c r="AN66" s="244"/>
      <c r="AO66" s="242"/>
      <c r="AP66" s="242"/>
      <c r="AQ66" s="243"/>
      <c r="AR66" s="244"/>
      <c r="AS66" s="242"/>
      <c r="AT66" s="242"/>
      <c r="AU66" s="243"/>
      <c r="AV66" s="244"/>
      <c r="AW66" s="242"/>
      <c r="AX66" s="242"/>
      <c r="AY66" s="243"/>
      <c r="AZ66" s="244"/>
      <c r="BA66" s="242"/>
      <c r="BB66" s="242"/>
      <c r="BC66" s="243"/>
      <c r="BD66" s="244"/>
      <c r="BE66" s="242"/>
      <c r="BF66" s="242"/>
      <c r="BG66" s="243"/>
      <c r="BH66" s="244"/>
      <c r="BI66" s="242"/>
      <c r="BJ66" s="242"/>
      <c r="BK66" s="243"/>
      <c r="BL66" s="244"/>
      <c r="BM66" s="242"/>
      <c r="BN66" s="242"/>
      <c r="BO66" s="243"/>
      <c r="BP66" s="245"/>
      <c r="BQ66" s="246"/>
    </row>
    <row r="67" spans="1:69" s="17" customFormat="1" ht="15" customHeight="1" x14ac:dyDescent="0.25">
      <c r="A67" s="286" t="s">
        <v>13</v>
      </c>
      <c r="B67" s="288" t="s">
        <v>36</v>
      </c>
      <c r="C67" s="298" t="s">
        <v>25</v>
      </c>
      <c r="D67" s="278" t="s">
        <v>119</v>
      </c>
      <c r="E67" s="278">
        <v>1</v>
      </c>
      <c r="F67" s="280">
        <f>G67</f>
        <v>704.14433999999994</v>
      </c>
      <c r="G67" s="280">
        <f>(456786+247358.34)/1000</f>
        <v>704.14433999999994</v>
      </c>
      <c r="H67" s="282">
        <f>G67/G76</f>
        <v>2.437666813622833E-3</v>
      </c>
      <c r="I67" s="284">
        <v>0</v>
      </c>
      <c r="J67" s="301">
        <f t="shared" ref="J67" si="17">I67*H67</f>
        <v>0</v>
      </c>
      <c r="K67" s="319">
        <v>45139</v>
      </c>
      <c r="L67" s="323">
        <v>45168</v>
      </c>
      <c r="M67" s="347"/>
      <c r="N67" s="347"/>
      <c r="O67" s="52" t="s">
        <v>26</v>
      </c>
      <c r="P67" s="74"/>
      <c r="Q67" s="75"/>
      <c r="R67" s="75"/>
      <c r="S67" s="76"/>
      <c r="T67" s="74"/>
      <c r="U67" s="75"/>
      <c r="V67" s="75"/>
      <c r="W67" s="76"/>
      <c r="X67" s="74"/>
      <c r="Y67" s="150"/>
      <c r="Z67" s="150"/>
      <c r="AA67" s="151"/>
      <c r="AB67" s="149"/>
      <c r="AC67" s="150"/>
      <c r="AD67" s="150"/>
      <c r="AE67" s="151"/>
      <c r="AF67" s="149"/>
      <c r="AG67" s="150"/>
      <c r="AH67" s="150"/>
      <c r="AI67" s="151"/>
      <c r="AJ67" s="149"/>
      <c r="AK67" s="150"/>
      <c r="AL67" s="150"/>
      <c r="AM67" s="151"/>
      <c r="AN67" s="149"/>
      <c r="AO67" s="150"/>
      <c r="AP67" s="150"/>
      <c r="AQ67" s="151"/>
      <c r="AR67" s="149"/>
      <c r="AS67" s="150"/>
      <c r="AT67" s="150"/>
      <c r="AU67" s="151"/>
      <c r="AV67" s="149"/>
      <c r="AW67" s="150"/>
      <c r="AX67" s="150"/>
      <c r="AY67" s="151"/>
      <c r="AZ67" s="149"/>
      <c r="BA67" s="150"/>
      <c r="BB67" s="150"/>
      <c r="BC67" s="151"/>
      <c r="BD67" s="149"/>
      <c r="BE67" s="150"/>
      <c r="BF67" s="150"/>
      <c r="BG67" s="151"/>
      <c r="BH67" s="146">
        <v>4</v>
      </c>
      <c r="BI67" s="147">
        <v>4</v>
      </c>
      <c r="BJ67" s="147">
        <v>4</v>
      </c>
      <c r="BK67" s="148">
        <v>4</v>
      </c>
      <c r="BL67" s="149"/>
      <c r="BM67" s="150"/>
      <c r="BN67" s="150"/>
      <c r="BO67" s="151"/>
      <c r="BP67" s="77"/>
      <c r="BQ67" s="108"/>
    </row>
    <row r="68" spans="1:69" s="17" customFormat="1" ht="15.75" thickBot="1" x14ac:dyDescent="0.3">
      <c r="A68" s="287"/>
      <c r="B68" s="289"/>
      <c r="C68" s="299"/>
      <c r="D68" s="279"/>
      <c r="E68" s="279"/>
      <c r="F68" s="281"/>
      <c r="G68" s="281"/>
      <c r="H68" s="283"/>
      <c r="I68" s="285"/>
      <c r="J68" s="302"/>
      <c r="K68" s="320"/>
      <c r="L68" s="324"/>
      <c r="M68" s="348"/>
      <c r="N68" s="348"/>
      <c r="O68" s="53" t="s">
        <v>27</v>
      </c>
      <c r="P68" s="79"/>
      <c r="Q68" s="80"/>
      <c r="R68" s="80"/>
      <c r="S68" s="81"/>
      <c r="T68" s="79"/>
      <c r="U68" s="80"/>
      <c r="V68" s="80"/>
      <c r="W68" s="81"/>
      <c r="X68" s="79"/>
      <c r="Y68" s="153"/>
      <c r="Z68" s="153"/>
      <c r="AA68" s="154"/>
      <c r="AB68" s="152"/>
      <c r="AC68" s="153"/>
      <c r="AD68" s="153"/>
      <c r="AE68" s="154"/>
      <c r="AF68" s="152"/>
      <c r="AG68" s="153"/>
      <c r="AH68" s="153"/>
      <c r="AI68" s="154"/>
      <c r="AJ68" s="152"/>
      <c r="AK68" s="153"/>
      <c r="AL68" s="153"/>
      <c r="AM68" s="154"/>
      <c r="AN68" s="152"/>
      <c r="AO68" s="153"/>
      <c r="AP68" s="153"/>
      <c r="AQ68" s="154"/>
      <c r="AR68" s="152"/>
      <c r="AS68" s="153"/>
      <c r="AT68" s="153"/>
      <c r="AU68" s="154"/>
      <c r="AV68" s="152"/>
      <c r="AW68" s="153"/>
      <c r="AX68" s="153"/>
      <c r="AY68" s="154"/>
      <c r="AZ68" s="152"/>
      <c r="BA68" s="153"/>
      <c r="BB68" s="153"/>
      <c r="BC68" s="154"/>
      <c r="BD68" s="152"/>
      <c r="BE68" s="153"/>
      <c r="BF68" s="153"/>
      <c r="BG68" s="154"/>
      <c r="BH68" s="152"/>
      <c r="BI68" s="153"/>
      <c r="BJ68" s="153"/>
      <c r="BK68" s="154"/>
      <c r="BL68" s="152"/>
      <c r="BM68" s="153"/>
      <c r="BN68" s="153"/>
      <c r="BO68" s="154"/>
      <c r="BP68" s="82"/>
      <c r="BQ68" s="109"/>
    </row>
    <row r="69" spans="1:69" s="17" customFormat="1" ht="15.75" thickBot="1" x14ac:dyDescent="0.3">
      <c r="A69" s="300" t="s">
        <v>92</v>
      </c>
      <c r="B69" s="288" t="s">
        <v>18</v>
      </c>
      <c r="C69" s="298" t="s">
        <v>25</v>
      </c>
      <c r="D69" s="218"/>
      <c r="E69" s="218"/>
      <c r="F69" s="278"/>
      <c r="G69" s="278"/>
      <c r="H69" s="218"/>
      <c r="I69" s="218"/>
      <c r="J69" s="218"/>
      <c r="K69" s="319">
        <v>45170</v>
      </c>
      <c r="L69" s="323">
        <v>45189</v>
      </c>
      <c r="M69" s="347"/>
      <c r="N69" s="347"/>
      <c r="O69" s="66" t="s">
        <v>26</v>
      </c>
      <c r="P69" s="74"/>
      <c r="Q69" s="75"/>
      <c r="R69" s="75"/>
      <c r="S69" s="76"/>
      <c r="T69" s="74"/>
      <c r="U69" s="75"/>
      <c r="V69" s="75"/>
      <c r="W69" s="76"/>
      <c r="X69" s="74"/>
      <c r="Y69" s="150"/>
      <c r="Z69" s="150"/>
      <c r="AA69" s="151"/>
      <c r="AB69" s="149"/>
      <c r="AC69" s="150"/>
      <c r="AD69" s="150"/>
      <c r="AE69" s="151"/>
      <c r="AF69" s="149"/>
      <c r="AG69" s="150"/>
      <c r="AH69" s="150"/>
      <c r="AI69" s="151"/>
      <c r="AJ69" s="149"/>
      <c r="AK69" s="150"/>
      <c r="AL69" s="150"/>
      <c r="AM69" s="151"/>
      <c r="AN69" s="149"/>
      <c r="AO69" s="150"/>
      <c r="AP69" s="150"/>
      <c r="AQ69" s="151"/>
      <c r="AR69" s="149"/>
      <c r="AS69" s="150"/>
      <c r="AT69" s="150"/>
      <c r="AU69" s="151"/>
      <c r="AV69" s="149"/>
      <c r="AW69" s="150"/>
      <c r="AX69" s="150"/>
      <c r="AY69" s="151"/>
      <c r="AZ69" s="149"/>
      <c r="BA69" s="150"/>
      <c r="BB69" s="150"/>
      <c r="BC69" s="151"/>
      <c r="BD69" s="149"/>
      <c r="BE69" s="150"/>
      <c r="BF69" s="150"/>
      <c r="BG69" s="151"/>
      <c r="BH69" s="149"/>
      <c r="BI69" s="150"/>
      <c r="BJ69" s="153"/>
      <c r="BK69" s="154"/>
      <c r="BL69" s="147">
        <v>10</v>
      </c>
      <c r="BM69" s="148">
        <v>10</v>
      </c>
      <c r="BN69" s="150"/>
      <c r="BO69" s="151"/>
      <c r="BP69" s="86"/>
      <c r="BQ69" s="110"/>
    </row>
    <row r="70" spans="1:69" s="67" customFormat="1" ht="15.75" thickBot="1" x14ac:dyDescent="0.3">
      <c r="A70" s="287"/>
      <c r="B70" s="289"/>
      <c r="C70" s="299"/>
      <c r="D70" s="219"/>
      <c r="E70" s="219"/>
      <c r="F70" s="279"/>
      <c r="G70" s="279"/>
      <c r="H70" s="219"/>
      <c r="I70" s="219"/>
      <c r="J70" s="219"/>
      <c r="K70" s="320"/>
      <c r="L70" s="324"/>
      <c r="M70" s="348"/>
      <c r="N70" s="348"/>
      <c r="O70" s="53" t="s">
        <v>27</v>
      </c>
      <c r="P70" s="79"/>
      <c r="Q70" s="80"/>
      <c r="R70" s="80"/>
      <c r="S70" s="81"/>
      <c r="T70" s="79"/>
      <c r="U70" s="80"/>
      <c r="V70" s="80"/>
      <c r="W70" s="81"/>
      <c r="X70" s="79"/>
      <c r="Y70" s="153"/>
      <c r="Z70" s="153"/>
      <c r="AA70" s="154"/>
      <c r="AB70" s="152"/>
      <c r="AC70" s="153"/>
      <c r="AD70" s="153"/>
      <c r="AE70" s="154"/>
      <c r="AF70" s="152"/>
      <c r="AG70" s="153"/>
      <c r="AH70" s="153"/>
      <c r="AI70" s="154"/>
      <c r="AJ70" s="152"/>
      <c r="AK70" s="153"/>
      <c r="AL70" s="153"/>
      <c r="AM70" s="154"/>
      <c r="AN70" s="152"/>
      <c r="AO70" s="153"/>
      <c r="AP70" s="153"/>
      <c r="AQ70" s="154"/>
      <c r="AR70" s="152"/>
      <c r="AS70" s="153"/>
      <c r="AT70" s="153"/>
      <c r="AU70" s="154"/>
      <c r="AV70" s="152"/>
      <c r="AW70" s="153"/>
      <c r="AX70" s="153"/>
      <c r="AY70" s="154"/>
      <c r="AZ70" s="152"/>
      <c r="BA70" s="153"/>
      <c r="BB70" s="153"/>
      <c r="BC70" s="154"/>
      <c r="BD70" s="152"/>
      <c r="BE70" s="153"/>
      <c r="BF70" s="153"/>
      <c r="BG70" s="154"/>
      <c r="BH70" s="152"/>
      <c r="BI70" s="153"/>
      <c r="BJ70" s="153"/>
      <c r="BK70" s="154"/>
      <c r="BL70" s="152"/>
      <c r="BM70" s="153"/>
      <c r="BN70" s="153"/>
      <c r="BO70" s="154"/>
      <c r="BP70" s="82"/>
      <c r="BQ70" s="109"/>
    </row>
    <row r="71" spans="1:69" s="67" customFormat="1" ht="15.75" thickBot="1" x14ac:dyDescent="0.3">
      <c r="A71" s="295"/>
      <c r="B71" s="293" t="s">
        <v>122</v>
      </c>
      <c r="C71" s="298"/>
      <c r="D71" s="218"/>
      <c r="E71" s="218"/>
      <c r="F71" s="278"/>
      <c r="G71" s="278"/>
      <c r="H71" s="218"/>
      <c r="I71" s="284"/>
      <c r="J71" s="218"/>
      <c r="K71" s="319">
        <v>45170</v>
      </c>
      <c r="L71" s="323">
        <v>45189</v>
      </c>
      <c r="M71" s="293"/>
      <c r="N71" s="293"/>
      <c r="O71" s="66" t="s">
        <v>26</v>
      </c>
      <c r="P71" s="74"/>
      <c r="Q71" s="75"/>
      <c r="R71" s="75"/>
      <c r="S71" s="76"/>
      <c r="T71" s="74"/>
      <c r="U71" s="75"/>
      <c r="V71" s="75"/>
      <c r="W71" s="76"/>
      <c r="X71" s="74"/>
      <c r="Y71" s="150"/>
      <c r="Z71" s="150"/>
      <c r="AA71" s="151"/>
      <c r="AB71" s="149"/>
      <c r="AC71" s="150"/>
      <c r="AD71" s="150"/>
      <c r="AE71" s="151"/>
      <c r="AF71" s="149"/>
      <c r="AG71" s="150"/>
      <c r="AH71" s="150"/>
      <c r="AI71" s="151"/>
      <c r="AJ71" s="149"/>
      <c r="AK71" s="150"/>
      <c r="AL71" s="150"/>
      <c r="AM71" s="151"/>
      <c r="AN71" s="149"/>
      <c r="AO71" s="150"/>
      <c r="AP71" s="150"/>
      <c r="AQ71" s="151"/>
      <c r="AR71" s="149"/>
      <c r="AS71" s="150"/>
      <c r="AT71" s="150"/>
      <c r="AU71" s="151"/>
      <c r="AV71" s="149"/>
      <c r="AW71" s="150"/>
      <c r="AX71" s="150"/>
      <c r="AY71" s="151"/>
      <c r="AZ71" s="149"/>
      <c r="BA71" s="150"/>
      <c r="BB71" s="150"/>
      <c r="BC71" s="151"/>
      <c r="BD71" s="149"/>
      <c r="BE71" s="150"/>
      <c r="BF71" s="150"/>
      <c r="BG71" s="151"/>
      <c r="BH71" s="149"/>
      <c r="BI71" s="150"/>
      <c r="BJ71" s="150"/>
      <c r="BK71" s="151"/>
      <c r="BL71" s="149"/>
      <c r="BM71" s="150"/>
      <c r="BN71" s="150"/>
      <c r="BO71" s="151"/>
      <c r="BP71" s="88"/>
      <c r="BQ71" s="183"/>
    </row>
    <row r="72" spans="1:69" s="67" customFormat="1" ht="15.75" thickBot="1" x14ac:dyDescent="0.3">
      <c r="A72" s="296"/>
      <c r="B72" s="297" t="s">
        <v>123</v>
      </c>
      <c r="C72" s="299"/>
      <c r="D72" s="219"/>
      <c r="E72" s="219"/>
      <c r="F72" s="279"/>
      <c r="G72" s="279"/>
      <c r="H72" s="219"/>
      <c r="I72" s="285"/>
      <c r="J72" s="219"/>
      <c r="K72" s="320"/>
      <c r="L72" s="324"/>
      <c r="M72" s="294"/>
      <c r="N72" s="294"/>
      <c r="O72" s="53" t="s">
        <v>27</v>
      </c>
      <c r="P72" s="79"/>
      <c r="Q72" s="80"/>
      <c r="R72" s="80"/>
      <c r="S72" s="81"/>
      <c r="T72" s="79"/>
      <c r="U72" s="80"/>
      <c r="V72" s="80"/>
      <c r="W72" s="81"/>
      <c r="X72" s="79"/>
      <c r="Y72" s="153"/>
      <c r="Z72" s="153"/>
      <c r="AA72" s="154"/>
      <c r="AB72" s="152"/>
      <c r="AC72" s="153"/>
      <c r="AD72" s="153"/>
      <c r="AE72" s="154"/>
      <c r="AF72" s="152"/>
      <c r="AG72" s="153"/>
      <c r="AH72" s="153"/>
      <c r="AI72" s="154"/>
      <c r="AJ72" s="152"/>
      <c r="AK72" s="153"/>
      <c r="AL72" s="153"/>
      <c r="AM72" s="154"/>
      <c r="AN72" s="152"/>
      <c r="AO72" s="153"/>
      <c r="AP72" s="153"/>
      <c r="AQ72" s="154"/>
      <c r="AR72" s="152"/>
      <c r="AS72" s="153"/>
      <c r="AT72" s="153"/>
      <c r="AU72" s="154"/>
      <c r="AV72" s="152"/>
      <c r="AW72" s="153"/>
      <c r="AX72" s="153"/>
      <c r="AY72" s="154"/>
      <c r="AZ72" s="152"/>
      <c r="BA72" s="153"/>
      <c r="BB72" s="153"/>
      <c r="BC72" s="154"/>
      <c r="BD72" s="152"/>
      <c r="BE72" s="153"/>
      <c r="BF72" s="153"/>
      <c r="BG72" s="154"/>
      <c r="BH72" s="152"/>
      <c r="BI72" s="153"/>
      <c r="BJ72" s="153"/>
      <c r="BK72" s="154"/>
      <c r="BL72" s="152"/>
      <c r="BM72" s="153"/>
      <c r="BN72" s="153"/>
      <c r="BO72" s="154"/>
      <c r="BP72" s="88"/>
      <c r="BQ72" s="183"/>
    </row>
    <row r="73" spans="1:69" s="67" customFormat="1" ht="15.75" thickBot="1" x14ac:dyDescent="0.3">
      <c r="A73" s="295"/>
      <c r="B73" s="293" t="s">
        <v>123</v>
      </c>
      <c r="C73" s="298"/>
      <c r="D73" s="218"/>
      <c r="E73" s="218"/>
      <c r="F73" s="278"/>
      <c r="G73" s="278"/>
      <c r="H73" s="218"/>
      <c r="I73" s="284"/>
      <c r="J73" s="218"/>
      <c r="K73" s="319">
        <v>45170</v>
      </c>
      <c r="L73" s="323">
        <v>45189</v>
      </c>
      <c r="M73" s="293"/>
      <c r="N73" s="293"/>
      <c r="O73" s="66" t="s">
        <v>26</v>
      </c>
      <c r="P73" s="74"/>
      <c r="Q73" s="75"/>
      <c r="R73" s="75"/>
      <c r="S73" s="76"/>
      <c r="T73" s="74"/>
      <c r="U73" s="75"/>
      <c r="V73" s="75"/>
      <c r="W73" s="76"/>
      <c r="X73" s="74"/>
      <c r="Y73" s="150"/>
      <c r="Z73" s="150"/>
      <c r="AA73" s="151"/>
      <c r="AB73" s="149"/>
      <c r="AC73" s="150"/>
      <c r="AD73" s="150"/>
      <c r="AE73" s="151"/>
      <c r="AF73" s="149"/>
      <c r="AG73" s="150"/>
      <c r="AH73" s="150"/>
      <c r="AI73" s="151"/>
      <c r="AJ73" s="149"/>
      <c r="AK73" s="150"/>
      <c r="AL73" s="150"/>
      <c r="AM73" s="151"/>
      <c r="AN73" s="149"/>
      <c r="AO73" s="150"/>
      <c r="AP73" s="150"/>
      <c r="AQ73" s="151"/>
      <c r="AR73" s="149"/>
      <c r="AS73" s="150"/>
      <c r="AT73" s="150"/>
      <c r="AU73" s="151"/>
      <c r="AV73" s="149"/>
      <c r="AW73" s="150"/>
      <c r="AX73" s="150"/>
      <c r="AY73" s="151"/>
      <c r="AZ73" s="149"/>
      <c r="BA73" s="150"/>
      <c r="BB73" s="150"/>
      <c r="BC73" s="151"/>
      <c r="BD73" s="149"/>
      <c r="BE73" s="150"/>
      <c r="BF73" s="150"/>
      <c r="BG73" s="151"/>
      <c r="BH73" s="149"/>
      <c r="BI73" s="150"/>
      <c r="BJ73" s="150"/>
      <c r="BK73" s="151"/>
      <c r="BL73" s="149"/>
      <c r="BM73" s="150"/>
      <c r="BN73" s="150"/>
      <c r="BO73" s="151"/>
      <c r="BP73" s="88"/>
      <c r="BQ73" s="183"/>
    </row>
    <row r="74" spans="1:69" s="67" customFormat="1" ht="15.75" thickBot="1" x14ac:dyDescent="0.3">
      <c r="A74" s="296"/>
      <c r="B74" s="297" t="s">
        <v>123</v>
      </c>
      <c r="C74" s="299"/>
      <c r="D74" s="219"/>
      <c r="E74" s="219"/>
      <c r="F74" s="279"/>
      <c r="G74" s="279"/>
      <c r="H74" s="219"/>
      <c r="I74" s="285"/>
      <c r="J74" s="219"/>
      <c r="K74" s="320"/>
      <c r="L74" s="324"/>
      <c r="M74" s="294"/>
      <c r="N74" s="294"/>
      <c r="O74" s="53" t="s">
        <v>27</v>
      </c>
      <c r="P74" s="79"/>
      <c r="Q74" s="80"/>
      <c r="R74" s="80"/>
      <c r="S74" s="81"/>
      <c r="T74" s="79"/>
      <c r="U74" s="80"/>
      <c r="V74" s="80"/>
      <c r="W74" s="81"/>
      <c r="X74" s="79"/>
      <c r="Y74" s="153"/>
      <c r="Z74" s="153"/>
      <c r="AA74" s="154"/>
      <c r="AB74" s="152"/>
      <c r="AC74" s="153"/>
      <c r="AD74" s="153"/>
      <c r="AE74" s="154"/>
      <c r="AF74" s="152"/>
      <c r="AG74" s="153"/>
      <c r="AH74" s="153"/>
      <c r="AI74" s="154"/>
      <c r="AJ74" s="152"/>
      <c r="AK74" s="153"/>
      <c r="AL74" s="153"/>
      <c r="AM74" s="154"/>
      <c r="AN74" s="152"/>
      <c r="AO74" s="153"/>
      <c r="AP74" s="153"/>
      <c r="AQ74" s="154"/>
      <c r="AR74" s="152"/>
      <c r="AS74" s="153"/>
      <c r="AT74" s="153"/>
      <c r="AU74" s="154"/>
      <c r="AV74" s="152"/>
      <c r="AW74" s="153"/>
      <c r="AX74" s="153"/>
      <c r="AY74" s="154"/>
      <c r="AZ74" s="152"/>
      <c r="BA74" s="153"/>
      <c r="BB74" s="153"/>
      <c r="BC74" s="154"/>
      <c r="BD74" s="152"/>
      <c r="BE74" s="153"/>
      <c r="BF74" s="153"/>
      <c r="BG74" s="154"/>
      <c r="BH74" s="152"/>
      <c r="BI74" s="153"/>
      <c r="BJ74" s="153"/>
      <c r="BK74" s="154"/>
      <c r="BL74" s="152"/>
      <c r="BM74" s="153"/>
      <c r="BN74" s="153"/>
      <c r="BO74" s="154"/>
      <c r="BP74" s="88"/>
      <c r="BQ74" s="183"/>
    </row>
    <row r="75" spans="1:69" s="67" customFormat="1" ht="15.75" thickBot="1" x14ac:dyDescent="0.3">
      <c r="A75" s="184"/>
      <c r="B75" s="185" t="s">
        <v>124</v>
      </c>
      <c r="C75" s="186"/>
      <c r="D75" s="186"/>
      <c r="E75" s="187"/>
      <c r="F75" s="188"/>
      <c r="G75" s="189">
        <f>(G67+SUM(G58:G65,G47:G56,G14:G45))*2%</f>
        <v>5663.9207981776808</v>
      </c>
      <c r="H75" s="190"/>
      <c r="I75" s="190"/>
      <c r="J75" s="190"/>
      <c r="K75" s="190"/>
      <c r="L75" s="190"/>
      <c r="M75" s="190"/>
      <c r="N75" s="190"/>
      <c r="O75" s="175"/>
      <c r="P75" s="176"/>
      <c r="Q75" s="177"/>
      <c r="R75" s="177"/>
      <c r="S75" s="178"/>
      <c r="T75" s="176"/>
      <c r="U75" s="177"/>
      <c r="V75" s="177"/>
      <c r="W75" s="178"/>
      <c r="X75" s="176"/>
      <c r="Y75" s="179"/>
      <c r="Z75" s="179"/>
      <c r="AA75" s="180"/>
      <c r="AB75" s="181"/>
      <c r="AC75" s="179"/>
      <c r="AD75" s="179"/>
      <c r="AE75" s="180"/>
      <c r="AF75" s="181"/>
      <c r="AG75" s="179"/>
      <c r="AH75" s="179"/>
      <c r="AI75" s="180"/>
      <c r="AJ75" s="181"/>
      <c r="AK75" s="179"/>
      <c r="AL75" s="179"/>
      <c r="AM75" s="180"/>
      <c r="AN75" s="181"/>
      <c r="AO75" s="179"/>
      <c r="AP75" s="179"/>
      <c r="AQ75" s="180"/>
      <c r="AR75" s="181"/>
      <c r="AS75" s="179"/>
      <c r="AT75" s="179"/>
      <c r="AU75" s="180"/>
      <c r="AV75" s="181"/>
      <c r="AW75" s="179"/>
      <c r="AX75" s="179"/>
      <c r="AY75" s="180"/>
      <c r="AZ75" s="181"/>
      <c r="BA75" s="179"/>
      <c r="BB75" s="179"/>
      <c r="BC75" s="180"/>
      <c r="BD75" s="181"/>
      <c r="BE75" s="179"/>
      <c r="BF75" s="179"/>
      <c r="BG75" s="180"/>
      <c r="BH75" s="181"/>
      <c r="BI75" s="179"/>
      <c r="BJ75" s="179"/>
      <c r="BK75" s="180"/>
      <c r="BL75" s="181"/>
      <c r="BM75" s="179"/>
      <c r="BN75" s="179"/>
      <c r="BO75" s="180"/>
      <c r="BP75" s="88"/>
      <c r="BQ75" s="183"/>
    </row>
    <row r="76" spans="1:69" s="67" customFormat="1" ht="15.75" thickBot="1" x14ac:dyDescent="0.3">
      <c r="A76" s="191"/>
      <c r="B76" s="192" t="s">
        <v>125</v>
      </c>
      <c r="C76" s="219"/>
      <c r="D76" s="219"/>
      <c r="E76" s="187"/>
      <c r="F76" s="217"/>
      <c r="G76" s="189">
        <f>G75+SUM(G14:G74)</f>
        <v>288859.96070706175</v>
      </c>
      <c r="H76" s="193">
        <f>SUM(H6:H75)</f>
        <v>8.9803921568627416</v>
      </c>
      <c r="I76" s="193"/>
      <c r="J76" s="194"/>
      <c r="K76" s="194"/>
      <c r="L76" s="194"/>
      <c r="M76" s="194"/>
      <c r="N76" s="194"/>
      <c r="O76" s="175"/>
      <c r="P76" s="176"/>
      <c r="Q76" s="177"/>
      <c r="R76" s="177"/>
      <c r="S76" s="178"/>
      <c r="T76" s="176"/>
      <c r="U76" s="177"/>
      <c r="V76" s="177"/>
      <c r="W76" s="178"/>
      <c r="X76" s="176"/>
      <c r="Y76" s="179"/>
      <c r="Z76" s="179"/>
      <c r="AA76" s="180"/>
      <c r="AB76" s="181"/>
      <c r="AC76" s="179"/>
      <c r="AD76" s="179"/>
      <c r="AE76" s="180"/>
      <c r="AF76" s="181"/>
      <c r="AG76" s="179"/>
      <c r="AH76" s="179"/>
      <c r="AI76" s="180"/>
      <c r="AJ76" s="181"/>
      <c r="AK76" s="179"/>
      <c r="AL76" s="179"/>
      <c r="AM76" s="180"/>
      <c r="AN76" s="181"/>
      <c r="AO76" s="179"/>
      <c r="AP76" s="179"/>
      <c r="AQ76" s="180"/>
      <c r="AR76" s="181"/>
      <c r="AS76" s="179"/>
      <c r="AT76" s="179"/>
      <c r="AU76" s="180"/>
      <c r="AV76" s="181"/>
      <c r="AW76" s="179"/>
      <c r="AX76" s="179"/>
      <c r="AY76" s="180"/>
      <c r="AZ76" s="181"/>
      <c r="BA76" s="179"/>
      <c r="BB76" s="179"/>
      <c r="BC76" s="180"/>
      <c r="BD76" s="181"/>
      <c r="BE76" s="179"/>
      <c r="BF76" s="179"/>
      <c r="BG76" s="180"/>
      <c r="BH76" s="181"/>
      <c r="BI76" s="179"/>
      <c r="BJ76" s="179"/>
      <c r="BK76" s="180"/>
      <c r="BL76" s="181"/>
      <c r="BM76" s="179"/>
      <c r="BN76" s="179"/>
      <c r="BO76" s="180"/>
      <c r="BP76" s="88"/>
      <c r="BQ76" s="183"/>
    </row>
    <row r="77" spans="1:69" s="17" customFormat="1" ht="15.75" outlineLevel="1" thickBot="1" x14ac:dyDescent="0.3">
      <c r="A77" s="247">
        <v>3</v>
      </c>
      <c r="B77" s="248" t="s">
        <v>29</v>
      </c>
      <c r="C77" s="249"/>
      <c r="D77" s="249"/>
      <c r="E77" s="249"/>
      <c r="F77" s="249"/>
      <c r="G77" s="250"/>
      <c r="H77" s="249"/>
      <c r="I77" s="249"/>
      <c r="J77" s="249"/>
      <c r="K77" s="249"/>
      <c r="L77" s="251"/>
      <c r="M77" s="249"/>
      <c r="N77" s="252"/>
      <c r="O77" s="253"/>
      <c r="P77" s="254"/>
      <c r="Q77" s="249"/>
      <c r="R77" s="249"/>
      <c r="S77" s="252"/>
      <c r="T77" s="254"/>
      <c r="U77" s="249"/>
      <c r="V77" s="249"/>
      <c r="W77" s="252"/>
      <c r="X77" s="254"/>
      <c r="Y77" s="249"/>
      <c r="Z77" s="249"/>
      <c r="AA77" s="252"/>
      <c r="AB77" s="254"/>
      <c r="AC77" s="249"/>
      <c r="AD77" s="249"/>
      <c r="AE77" s="252"/>
      <c r="AF77" s="254"/>
      <c r="AG77" s="249"/>
      <c r="AH77" s="249"/>
      <c r="AI77" s="252"/>
      <c r="AJ77" s="254"/>
      <c r="AK77" s="249"/>
      <c r="AL77" s="249"/>
      <c r="AM77" s="252"/>
      <c r="AN77" s="254"/>
      <c r="AO77" s="249"/>
      <c r="AP77" s="249"/>
      <c r="AQ77" s="252"/>
      <c r="AR77" s="254"/>
      <c r="AS77" s="249"/>
      <c r="AT77" s="249"/>
      <c r="AU77" s="252"/>
      <c r="AV77" s="254"/>
      <c r="AW77" s="249"/>
      <c r="AX77" s="249"/>
      <c r="AY77" s="252"/>
      <c r="AZ77" s="254"/>
      <c r="BA77" s="249"/>
      <c r="BB77" s="249"/>
      <c r="BC77" s="252"/>
      <c r="BD77" s="254"/>
      <c r="BE77" s="249"/>
      <c r="BF77" s="249"/>
      <c r="BG77" s="252"/>
      <c r="BH77" s="254"/>
      <c r="BI77" s="249"/>
      <c r="BJ77" s="249"/>
      <c r="BK77" s="252"/>
      <c r="BL77" s="254"/>
      <c r="BM77" s="249"/>
      <c r="BN77" s="249"/>
      <c r="BO77" s="252"/>
      <c r="BP77" s="255"/>
      <c r="BQ77" s="253"/>
    </row>
    <row r="78" spans="1:69" s="17" customFormat="1" outlineLevel="1" x14ac:dyDescent="0.25">
      <c r="A78" s="121" t="s">
        <v>19</v>
      </c>
      <c r="B78" s="42" t="s">
        <v>53</v>
      </c>
      <c r="C78" s="122" t="s">
        <v>25</v>
      </c>
      <c r="D78" s="43" t="s">
        <v>59</v>
      </c>
      <c r="E78" s="123"/>
      <c r="F78" s="123"/>
      <c r="G78" s="124"/>
      <c r="H78" s="123"/>
      <c r="I78" s="123"/>
      <c r="J78" s="123"/>
      <c r="K78" s="123"/>
      <c r="L78" s="122"/>
      <c r="M78" s="123"/>
      <c r="N78" s="125"/>
      <c r="O78" s="44" t="s">
        <v>26</v>
      </c>
      <c r="P78" s="169">
        <f>P69+P67+P62+P60+P58+P55+P53+P51+P49+P47+P44+P42+P40+P38+P36+P34+P32+P30+P28+P26+P24+P22+P20+P18+P16+P14</f>
        <v>0</v>
      </c>
      <c r="Q78" s="170">
        <f t="shared" ref="Q78:BK79" si="18">Q69+Q67+Q62+Q60+Q58+Q55+Q53+Q51+Q49+Q47+Q44+Q42+Q40+Q38+Q36+Q34+Q32+Q30+Q28+Q26+Q24+Q22+Q20+Q18+Q16+Q14</f>
        <v>0</v>
      </c>
      <c r="R78" s="170">
        <f t="shared" si="18"/>
        <v>5</v>
      </c>
      <c r="S78" s="171">
        <f t="shared" si="18"/>
        <v>5</v>
      </c>
      <c r="T78" s="169">
        <f t="shared" si="18"/>
        <v>5</v>
      </c>
      <c r="U78" s="170">
        <f t="shared" si="18"/>
        <v>5</v>
      </c>
      <c r="V78" s="170">
        <f t="shared" si="18"/>
        <v>5</v>
      </c>
      <c r="W78" s="171">
        <f t="shared" si="18"/>
        <v>8</v>
      </c>
      <c r="X78" s="169">
        <f t="shared" si="18"/>
        <v>8</v>
      </c>
      <c r="Y78" s="170">
        <f t="shared" si="18"/>
        <v>8</v>
      </c>
      <c r="Z78" s="170">
        <f t="shared" si="18"/>
        <v>8</v>
      </c>
      <c r="AA78" s="171">
        <f t="shared" si="18"/>
        <v>5</v>
      </c>
      <c r="AB78" s="169">
        <f t="shared" si="18"/>
        <v>5</v>
      </c>
      <c r="AC78" s="170">
        <f t="shared" si="18"/>
        <v>5</v>
      </c>
      <c r="AD78" s="170">
        <f t="shared" si="18"/>
        <v>5</v>
      </c>
      <c r="AE78" s="171">
        <f t="shared" si="18"/>
        <v>5</v>
      </c>
      <c r="AF78" s="169">
        <f t="shared" si="18"/>
        <v>6</v>
      </c>
      <c r="AG78" s="170">
        <f t="shared" si="18"/>
        <v>11</v>
      </c>
      <c r="AH78" s="170">
        <f t="shared" si="18"/>
        <v>11</v>
      </c>
      <c r="AI78" s="171">
        <f t="shared" si="18"/>
        <v>11</v>
      </c>
      <c r="AJ78" s="169">
        <f t="shared" si="18"/>
        <v>12</v>
      </c>
      <c r="AK78" s="170">
        <f t="shared" si="18"/>
        <v>12</v>
      </c>
      <c r="AL78" s="170">
        <f t="shared" si="18"/>
        <v>12</v>
      </c>
      <c r="AM78" s="171">
        <f t="shared" si="18"/>
        <v>12</v>
      </c>
      <c r="AN78" s="169">
        <f t="shared" si="18"/>
        <v>13</v>
      </c>
      <c r="AO78" s="170">
        <f t="shared" si="18"/>
        <v>13</v>
      </c>
      <c r="AP78" s="170">
        <f t="shared" si="18"/>
        <v>13</v>
      </c>
      <c r="AQ78" s="171">
        <f t="shared" si="18"/>
        <v>13</v>
      </c>
      <c r="AR78" s="169">
        <f t="shared" si="18"/>
        <v>25</v>
      </c>
      <c r="AS78" s="170">
        <f t="shared" si="18"/>
        <v>25</v>
      </c>
      <c r="AT78" s="170">
        <f t="shared" si="18"/>
        <v>25</v>
      </c>
      <c r="AU78" s="171">
        <f t="shared" si="18"/>
        <v>25</v>
      </c>
      <c r="AV78" s="169">
        <f t="shared" si="18"/>
        <v>60</v>
      </c>
      <c r="AW78" s="170">
        <f t="shared" si="18"/>
        <v>62</v>
      </c>
      <c r="AX78" s="170">
        <f t="shared" si="18"/>
        <v>64</v>
      </c>
      <c r="AY78" s="171">
        <f t="shared" si="18"/>
        <v>66</v>
      </c>
      <c r="AZ78" s="169">
        <f t="shared" si="18"/>
        <v>80</v>
      </c>
      <c r="BA78" s="170">
        <f t="shared" si="18"/>
        <v>82</v>
      </c>
      <c r="BB78" s="170">
        <f t="shared" si="18"/>
        <v>84</v>
      </c>
      <c r="BC78" s="171">
        <f t="shared" si="18"/>
        <v>84</v>
      </c>
      <c r="BD78" s="169">
        <f t="shared" si="18"/>
        <v>86</v>
      </c>
      <c r="BE78" s="170">
        <f t="shared" si="18"/>
        <v>86</v>
      </c>
      <c r="BF78" s="170">
        <f t="shared" si="18"/>
        <v>86</v>
      </c>
      <c r="BG78" s="171">
        <f t="shared" si="18"/>
        <v>86</v>
      </c>
      <c r="BH78" s="169">
        <f t="shared" si="18"/>
        <v>102</v>
      </c>
      <c r="BI78" s="170">
        <f t="shared" si="18"/>
        <v>102</v>
      </c>
      <c r="BJ78" s="170">
        <f t="shared" si="18"/>
        <v>102</v>
      </c>
      <c r="BK78" s="171">
        <f t="shared" si="18"/>
        <v>102</v>
      </c>
      <c r="BL78" s="169">
        <f>BL69+BL67+BL62+BL60+BL58+BL55+BL53+BL51+BL49+BL47+BL44+BL42+BL40+BL38+BL36+BL34+BL32+BL30+BL28+BL26+BL24+BL22+BL20+BL18+BL16+BL14+BL64</f>
        <v>10</v>
      </c>
      <c r="BM78" s="170">
        <f t="shared" ref="BM78:BO79" si="19">BM69+BM67+BM62+BM60+BM58+BM55+BM53+BM51+BM49+BM47+BM44+BM42+BM40+BM38+BM36+BM34+BM32+BM30+BM28+BM26+BM24+BM22+BM20+BM18+BM16+BM14+BM64</f>
        <v>10</v>
      </c>
      <c r="BN78" s="170">
        <f t="shared" si="19"/>
        <v>0</v>
      </c>
      <c r="BO78" s="171">
        <f t="shared" si="19"/>
        <v>0</v>
      </c>
      <c r="BP78" s="374"/>
      <c r="BQ78" s="374"/>
    </row>
    <row r="79" spans="1:69" s="17" customFormat="1" ht="15.75" outlineLevel="1" thickBot="1" x14ac:dyDescent="0.3">
      <c r="A79" s="121" t="s">
        <v>38</v>
      </c>
      <c r="B79" s="20" t="s">
        <v>54</v>
      </c>
      <c r="C79" s="122" t="s">
        <v>25</v>
      </c>
      <c r="D79" s="23" t="s">
        <v>59</v>
      </c>
      <c r="E79" s="123"/>
      <c r="F79" s="123"/>
      <c r="G79" s="124"/>
      <c r="H79" s="123"/>
      <c r="I79" s="123"/>
      <c r="J79" s="123"/>
      <c r="K79" s="123"/>
      <c r="L79" s="122"/>
      <c r="M79" s="123"/>
      <c r="N79" s="125"/>
      <c r="O79" s="26" t="s">
        <v>27</v>
      </c>
      <c r="P79" s="172">
        <f>P70+P68+P63+P61+P59+P56+P54+P52+P50+P48+P45+P43+P41+P39+P37+P35+P33+P31+P29+P27+P25+P23+P21+P19+P17+P15</f>
        <v>0</v>
      </c>
      <c r="Q79" s="173">
        <f t="shared" si="18"/>
        <v>0</v>
      </c>
      <c r="R79" s="173">
        <f t="shared" si="18"/>
        <v>5</v>
      </c>
      <c r="S79" s="174">
        <f t="shared" si="18"/>
        <v>5</v>
      </c>
      <c r="T79" s="172">
        <f t="shared" si="18"/>
        <v>5</v>
      </c>
      <c r="U79" s="173">
        <f t="shared" si="18"/>
        <v>5</v>
      </c>
      <c r="V79" s="173">
        <f t="shared" si="18"/>
        <v>0</v>
      </c>
      <c r="W79" s="174">
        <f t="shared" si="18"/>
        <v>0</v>
      </c>
      <c r="X79" s="172">
        <f t="shared" si="18"/>
        <v>0</v>
      </c>
      <c r="Y79" s="173">
        <f t="shared" si="18"/>
        <v>0</v>
      </c>
      <c r="Z79" s="173">
        <f t="shared" si="18"/>
        <v>0</v>
      </c>
      <c r="AA79" s="174">
        <f t="shared" si="18"/>
        <v>0</v>
      </c>
      <c r="AB79" s="172">
        <f t="shared" si="18"/>
        <v>0</v>
      </c>
      <c r="AC79" s="173">
        <f t="shared" si="18"/>
        <v>0</v>
      </c>
      <c r="AD79" s="173">
        <f t="shared" si="18"/>
        <v>0</v>
      </c>
      <c r="AE79" s="174">
        <f t="shared" si="18"/>
        <v>0</v>
      </c>
      <c r="AF79" s="172">
        <f t="shared" si="18"/>
        <v>0</v>
      </c>
      <c r="AG79" s="173">
        <f t="shared" si="18"/>
        <v>0</v>
      </c>
      <c r="AH79" s="173">
        <f t="shared" si="18"/>
        <v>0</v>
      </c>
      <c r="AI79" s="174">
        <f t="shared" si="18"/>
        <v>0</v>
      </c>
      <c r="AJ79" s="172">
        <f t="shared" si="18"/>
        <v>0</v>
      </c>
      <c r="AK79" s="173">
        <f t="shared" si="18"/>
        <v>0</v>
      </c>
      <c r="AL79" s="173">
        <f t="shared" si="18"/>
        <v>0</v>
      </c>
      <c r="AM79" s="174">
        <f t="shared" si="18"/>
        <v>0</v>
      </c>
      <c r="AN79" s="172">
        <f t="shared" si="18"/>
        <v>0</v>
      </c>
      <c r="AO79" s="173">
        <f t="shared" si="18"/>
        <v>0</v>
      </c>
      <c r="AP79" s="173">
        <f t="shared" si="18"/>
        <v>0</v>
      </c>
      <c r="AQ79" s="174">
        <f t="shared" si="18"/>
        <v>0</v>
      </c>
      <c r="AR79" s="172">
        <f t="shared" si="18"/>
        <v>0</v>
      </c>
      <c r="AS79" s="173">
        <f t="shared" si="18"/>
        <v>0</v>
      </c>
      <c r="AT79" s="173">
        <f t="shared" si="18"/>
        <v>0</v>
      </c>
      <c r="AU79" s="174">
        <f t="shared" si="18"/>
        <v>0</v>
      </c>
      <c r="AV79" s="172">
        <f t="shared" si="18"/>
        <v>0</v>
      </c>
      <c r="AW79" s="173">
        <f t="shared" si="18"/>
        <v>0</v>
      </c>
      <c r="AX79" s="173">
        <f t="shared" si="18"/>
        <v>0</v>
      </c>
      <c r="AY79" s="174">
        <f t="shared" si="18"/>
        <v>0</v>
      </c>
      <c r="AZ79" s="172">
        <f t="shared" si="18"/>
        <v>0</v>
      </c>
      <c r="BA79" s="173">
        <f t="shared" si="18"/>
        <v>0</v>
      </c>
      <c r="BB79" s="173">
        <f t="shared" si="18"/>
        <v>0</v>
      </c>
      <c r="BC79" s="174">
        <f t="shared" si="18"/>
        <v>0</v>
      </c>
      <c r="BD79" s="172">
        <f t="shared" si="18"/>
        <v>0</v>
      </c>
      <c r="BE79" s="173">
        <f t="shared" si="18"/>
        <v>0</v>
      </c>
      <c r="BF79" s="173">
        <f t="shared" si="18"/>
        <v>0</v>
      </c>
      <c r="BG79" s="174">
        <f t="shared" si="18"/>
        <v>0</v>
      </c>
      <c r="BH79" s="172">
        <f t="shared" si="18"/>
        <v>0</v>
      </c>
      <c r="BI79" s="173">
        <f t="shared" si="18"/>
        <v>0</v>
      </c>
      <c r="BJ79" s="173">
        <f t="shared" si="18"/>
        <v>0</v>
      </c>
      <c r="BK79" s="174">
        <f t="shared" si="18"/>
        <v>0</v>
      </c>
      <c r="BL79" s="172">
        <f>BL70+BL68+BL63+BL61+BL59+BL56+BL54+BL52+BL50+BL48+BL45+BL43+BL41+BL39+BL37+BL35+BL33+BL31+BL29+BL27+BL25+BL23+BL21+BL19+BL17+BL15+BL65</f>
        <v>0</v>
      </c>
      <c r="BM79" s="173">
        <f t="shared" si="19"/>
        <v>0</v>
      </c>
      <c r="BN79" s="173">
        <f t="shared" si="19"/>
        <v>0</v>
      </c>
      <c r="BO79" s="174">
        <f t="shared" si="19"/>
        <v>0</v>
      </c>
      <c r="BP79" s="375"/>
      <c r="BQ79" s="375"/>
    </row>
    <row r="80" spans="1:69" s="17" customFormat="1" outlineLevel="1" x14ac:dyDescent="0.25">
      <c r="A80" s="121" t="s">
        <v>93</v>
      </c>
      <c r="B80" s="20" t="s">
        <v>55</v>
      </c>
      <c r="C80" s="122" t="s">
        <v>25</v>
      </c>
      <c r="D80" s="23" t="s">
        <v>59</v>
      </c>
      <c r="E80" s="126"/>
      <c r="F80" s="126"/>
      <c r="G80" s="127"/>
      <c r="H80" s="126"/>
      <c r="I80" s="126"/>
      <c r="J80" s="126"/>
      <c r="K80" s="126"/>
      <c r="L80" s="128"/>
      <c r="M80" s="126"/>
      <c r="N80" s="129"/>
      <c r="O80" s="26" t="s">
        <v>26</v>
      </c>
      <c r="P80" s="312">
        <f>CEILING((P78+Q78+R78+S78)/4,1)</f>
        <v>3</v>
      </c>
      <c r="Q80" s="313"/>
      <c r="R80" s="313"/>
      <c r="S80" s="314"/>
      <c r="T80" s="312">
        <f t="shared" ref="T80:T81" si="20">CEILING((T78+U78+V78+W78)/4,1)</f>
        <v>6</v>
      </c>
      <c r="U80" s="313"/>
      <c r="V80" s="313"/>
      <c r="W80" s="314"/>
      <c r="X80" s="312">
        <f t="shared" ref="X80:X81" si="21">CEILING((X78+Y78+Z78+AA78)/4,1)</f>
        <v>8</v>
      </c>
      <c r="Y80" s="313"/>
      <c r="Z80" s="313"/>
      <c r="AA80" s="314"/>
      <c r="AB80" s="312">
        <f t="shared" ref="AB80:AB81" si="22">CEILING((AB78+AC78+AD78+AE78)/4,1)</f>
        <v>5</v>
      </c>
      <c r="AC80" s="313"/>
      <c r="AD80" s="313"/>
      <c r="AE80" s="314"/>
      <c r="AF80" s="312">
        <f t="shared" ref="AF80:AF81" si="23">CEILING((AF78+AG78+AH78+AI78)/4,1)</f>
        <v>10</v>
      </c>
      <c r="AG80" s="313"/>
      <c r="AH80" s="313"/>
      <c r="AI80" s="314"/>
      <c r="AJ80" s="312">
        <f t="shared" ref="AJ80:AJ81" si="24">CEILING((AJ78+AK78+AL78+AM78)/4,1)</f>
        <v>12</v>
      </c>
      <c r="AK80" s="313"/>
      <c r="AL80" s="313"/>
      <c r="AM80" s="314"/>
      <c r="AN80" s="312">
        <f t="shared" ref="AN80:AN81" si="25">CEILING((AN78+AO78+AP78+AQ78)/4,1)</f>
        <v>13</v>
      </c>
      <c r="AO80" s="313"/>
      <c r="AP80" s="313"/>
      <c r="AQ80" s="314"/>
      <c r="AR80" s="312">
        <f t="shared" ref="AR80:AR81" si="26">CEILING((AR78+AS78+AT78+AU78)/4,1)</f>
        <v>25</v>
      </c>
      <c r="AS80" s="313"/>
      <c r="AT80" s="313"/>
      <c r="AU80" s="314"/>
      <c r="AV80" s="312">
        <f t="shared" ref="AV80:AV81" si="27">CEILING((AV78+AW78+AX78+AY78)/4,1)</f>
        <v>63</v>
      </c>
      <c r="AW80" s="313"/>
      <c r="AX80" s="313"/>
      <c r="AY80" s="314"/>
      <c r="AZ80" s="312">
        <f t="shared" ref="AZ80:AZ81" si="28">CEILING((AZ78+BA78+BB78+BC78)/4,1)</f>
        <v>83</v>
      </c>
      <c r="BA80" s="313"/>
      <c r="BB80" s="313"/>
      <c r="BC80" s="314"/>
      <c r="BD80" s="312">
        <f t="shared" ref="BD80:BD81" si="29">CEILING((BD78+BE78+BF78+BG78)/4,1)</f>
        <v>86</v>
      </c>
      <c r="BE80" s="313"/>
      <c r="BF80" s="313"/>
      <c r="BG80" s="314"/>
      <c r="BH80" s="312">
        <f t="shared" ref="BH80:BH81" si="30">CEILING((BH78+BI78+BJ78+BK78)/4,1)</f>
        <v>102</v>
      </c>
      <c r="BI80" s="313"/>
      <c r="BJ80" s="313"/>
      <c r="BK80" s="314"/>
      <c r="BL80" s="312">
        <f t="shared" ref="BL80:BL81" si="31">CEILING((BL78+BM78+BN78+BO78)/4,1)</f>
        <v>5</v>
      </c>
      <c r="BM80" s="313"/>
      <c r="BN80" s="313"/>
      <c r="BO80" s="314"/>
      <c r="BP80" s="375"/>
      <c r="BQ80" s="375"/>
    </row>
    <row r="81" spans="1:100" ht="15.75" outlineLevel="1" thickBot="1" x14ac:dyDescent="0.3">
      <c r="A81" s="121" t="s">
        <v>94</v>
      </c>
      <c r="B81" s="20" t="s">
        <v>30</v>
      </c>
      <c r="C81" s="122" t="s">
        <v>25</v>
      </c>
      <c r="D81" s="23" t="s">
        <v>59</v>
      </c>
      <c r="E81" s="130"/>
      <c r="F81" s="130"/>
      <c r="G81" s="131"/>
      <c r="H81" s="130"/>
      <c r="I81" s="130"/>
      <c r="J81" s="130"/>
      <c r="K81" s="130"/>
      <c r="L81" s="132"/>
      <c r="M81" s="130"/>
      <c r="N81" s="133"/>
      <c r="O81" s="26" t="s">
        <v>27</v>
      </c>
      <c r="P81" s="349">
        <f>CEILING((P79+Q79+R79+S79)/4,1)</f>
        <v>3</v>
      </c>
      <c r="Q81" s="350"/>
      <c r="R81" s="350"/>
      <c r="S81" s="351"/>
      <c r="T81" s="349">
        <f t="shared" si="20"/>
        <v>3</v>
      </c>
      <c r="U81" s="350"/>
      <c r="V81" s="350"/>
      <c r="W81" s="351"/>
      <c r="X81" s="349">
        <f t="shared" si="21"/>
        <v>0</v>
      </c>
      <c r="Y81" s="350"/>
      <c r="Z81" s="350"/>
      <c r="AA81" s="351"/>
      <c r="AB81" s="349">
        <f t="shared" si="22"/>
        <v>0</v>
      </c>
      <c r="AC81" s="350"/>
      <c r="AD81" s="350"/>
      <c r="AE81" s="351"/>
      <c r="AF81" s="349">
        <f t="shared" si="23"/>
        <v>0</v>
      </c>
      <c r="AG81" s="350"/>
      <c r="AH81" s="350"/>
      <c r="AI81" s="351"/>
      <c r="AJ81" s="349">
        <f t="shared" si="24"/>
        <v>0</v>
      </c>
      <c r="AK81" s="350"/>
      <c r="AL81" s="350"/>
      <c r="AM81" s="351"/>
      <c r="AN81" s="349">
        <f t="shared" si="25"/>
        <v>0</v>
      </c>
      <c r="AO81" s="350"/>
      <c r="AP81" s="350"/>
      <c r="AQ81" s="351"/>
      <c r="AR81" s="349">
        <f t="shared" si="26"/>
        <v>0</v>
      </c>
      <c r="AS81" s="350"/>
      <c r="AT81" s="350"/>
      <c r="AU81" s="351"/>
      <c r="AV81" s="349">
        <f t="shared" si="27"/>
        <v>0</v>
      </c>
      <c r="AW81" s="350"/>
      <c r="AX81" s="350"/>
      <c r="AY81" s="351"/>
      <c r="AZ81" s="349">
        <f t="shared" si="28"/>
        <v>0</v>
      </c>
      <c r="BA81" s="350"/>
      <c r="BB81" s="350"/>
      <c r="BC81" s="351"/>
      <c r="BD81" s="349">
        <f t="shared" si="29"/>
        <v>0</v>
      </c>
      <c r="BE81" s="350"/>
      <c r="BF81" s="350"/>
      <c r="BG81" s="351"/>
      <c r="BH81" s="349">
        <f t="shared" si="30"/>
        <v>0</v>
      </c>
      <c r="BI81" s="350"/>
      <c r="BJ81" s="350"/>
      <c r="BK81" s="351"/>
      <c r="BL81" s="349">
        <f t="shared" si="31"/>
        <v>0</v>
      </c>
      <c r="BM81" s="350"/>
      <c r="BN81" s="350"/>
      <c r="BO81" s="351"/>
      <c r="BP81" s="375"/>
      <c r="BQ81" s="375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5.75" outlineLevel="1" thickBot="1" x14ac:dyDescent="0.3">
      <c r="A82" s="121" t="s">
        <v>95</v>
      </c>
      <c r="B82" s="20" t="s">
        <v>56</v>
      </c>
      <c r="C82" s="122" t="s">
        <v>25</v>
      </c>
      <c r="D82" s="23" t="s">
        <v>60</v>
      </c>
      <c r="E82" s="130"/>
      <c r="F82" s="130"/>
      <c r="G82" s="131"/>
      <c r="H82" s="130"/>
      <c r="I82" s="130"/>
      <c r="J82" s="130"/>
      <c r="K82" s="130"/>
      <c r="L82" s="132"/>
      <c r="M82" s="130"/>
      <c r="N82" s="133"/>
      <c r="O82" s="27" t="s">
        <v>26</v>
      </c>
      <c r="P82" s="303">
        <f>0</f>
        <v>0</v>
      </c>
      <c r="Q82" s="304"/>
      <c r="R82" s="304"/>
      <c r="S82" s="305"/>
      <c r="T82" s="303">
        <v>0</v>
      </c>
      <c r="U82" s="304"/>
      <c r="V82" s="304"/>
      <c r="W82" s="305"/>
      <c r="X82" s="303">
        <f>G14/2</f>
        <v>9794.2794300000023</v>
      </c>
      <c r="Y82" s="304"/>
      <c r="Z82" s="304"/>
      <c r="AA82" s="305"/>
      <c r="AB82" s="303">
        <f>G14/2</f>
        <v>9794.2794300000023</v>
      </c>
      <c r="AC82" s="304"/>
      <c r="AD82" s="304"/>
      <c r="AE82" s="305"/>
      <c r="AF82" s="303">
        <f>G16/6</f>
        <v>11306.27101162589</v>
      </c>
      <c r="AG82" s="304"/>
      <c r="AH82" s="304"/>
      <c r="AI82" s="305"/>
      <c r="AJ82" s="303">
        <f>G16/6</f>
        <v>11306.27101162589</v>
      </c>
      <c r="AK82" s="304"/>
      <c r="AL82" s="304"/>
      <c r="AM82" s="305"/>
      <c r="AN82" s="303">
        <f>G16/6</f>
        <v>11306.27101162589</v>
      </c>
      <c r="AO82" s="304"/>
      <c r="AP82" s="304"/>
      <c r="AQ82" s="305"/>
      <c r="AR82" s="303">
        <f>G16/6+G18/4+G24/5+G26/5+G30/5+G32/5</f>
        <v>28278.253952538944</v>
      </c>
      <c r="AS82" s="304"/>
      <c r="AT82" s="304"/>
      <c r="AU82" s="305"/>
      <c r="AV82" s="303">
        <f>G16/6+G18/4+G20/4+G24/5+G26/5+G28/4+G30/5+G32/5+G36/4+G38/4+G40/4+G47/4+G49/4+G51/4</f>
        <v>39777.617583342042</v>
      </c>
      <c r="AW82" s="304"/>
      <c r="AX82" s="304"/>
      <c r="AY82" s="305"/>
      <c r="AZ82" s="303">
        <f>G16/6+G18/4+G20/4+G24/5+G26/5+G28/4+G30/5+G32/5+G36/4+G38/4+G40/4+G42/3+G44/3+G47/4+G49/4+G51/4</f>
        <v>48615.717882734301</v>
      </c>
      <c r="BA82" s="304"/>
      <c r="BB82" s="304"/>
      <c r="BC82" s="305"/>
      <c r="BD82" s="303">
        <f>+G18/4+G20/4+G24/5+G26/5+G28/4+G30/5+G32/5+G34/2+G36/4+G38/4+G40/4+G42/3+G44/3+G47/4+G49/4+G51/4+G53/2</f>
        <v>42567.925676108425</v>
      </c>
      <c r="BE82" s="304"/>
      <c r="BF82" s="304"/>
      <c r="BG82" s="305"/>
      <c r="BH82" s="303">
        <f>G20/4+G22+G24/5+G26/5+G28/4+G30/5+G32/5+G34/2+G36/4+G38/4+G40/4+G42/3+G44/3+G47/4+G49/4+G51/4+G53/2+G55+G58+G60+G62+G64+G67</f>
        <v>70449.152919282686</v>
      </c>
      <c r="BI82" s="304"/>
      <c r="BJ82" s="304"/>
      <c r="BK82" s="305"/>
      <c r="BL82" s="303">
        <v>0</v>
      </c>
      <c r="BM82" s="304"/>
      <c r="BN82" s="304"/>
      <c r="BO82" s="305"/>
      <c r="BP82" s="375"/>
      <c r="BQ82" s="375"/>
      <c r="BR82" s="231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outlineLevel="1" x14ac:dyDescent="0.25">
      <c r="A83" s="121" t="s">
        <v>96</v>
      </c>
      <c r="B83" s="21" t="s">
        <v>57</v>
      </c>
      <c r="C83" s="122" t="s">
        <v>25</v>
      </c>
      <c r="D83" s="24" t="s">
        <v>60</v>
      </c>
      <c r="E83" s="130"/>
      <c r="F83" s="130"/>
      <c r="G83" s="131"/>
      <c r="H83" s="130"/>
      <c r="I83" s="130"/>
      <c r="J83" s="130"/>
      <c r="K83" s="130"/>
      <c r="L83" s="132"/>
      <c r="M83" s="130"/>
      <c r="N83" s="133"/>
      <c r="O83" s="27" t="s">
        <v>27</v>
      </c>
      <c r="P83" s="306"/>
      <c r="Q83" s="307"/>
      <c r="R83" s="307"/>
      <c r="S83" s="308"/>
      <c r="T83" s="306"/>
      <c r="U83" s="307"/>
      <c r="V83" s="307"/>
      <c r="W83" s="308"/>
      <c r="X83" s="306"/>
      <c r="Y83" s="307"/>
      <c r="Z83" s="307"/>
      <c r="AA83" s="308"/>
      <c r="AB83" s="306"/>
      <c r="AC83" s="307"/>
      <c r="AD83" s="307"/>
      <c r="AE83" s="308"/>
      <c r="AF83" s="306"/>
      <c r="AG83" s="307"/>
      <c r="AH83" s="307"/>
      <c r="AI83" s="308"/>
      <c r="AJ83" s="306"/>
      <c r="AK83" s="307"/>
      <c r="AL83" s="307"/>
      <c r="AM83" s="308"/>
      <c r="AN83" s="306"/>
      <c r="AO83" s="307"/>
      <c r="AP83" s="307"/>
      <c r="AQ83" s="308"/>
      <c r="AR83" s="306"/>
      <c r="AS83" s="307"/>
      <c r="AT83" s="307"/>
      <c r="AU83" s="308"/>
      <c r="AV83" s="306"/>
      <c r="AW83" s="307"/>
      <c r="AX83" s="307"/>
      <c r="AY83" s="308"/>
      <c r="AZ83" s="306"/>
      <c r="BA83" s="307"/>
      <c r="BB83" s="307"/>
      <c r="BC83" s="308"/>
      <c r="BD83" s="306"/>
      <c r="BE83" s="307"/>
      <c r="BF83" s="307"/>
      <c r="BG83" s="308"/>
      <c r="BH83" s="306"/>
      <c r="BI83" s="307"/>
      <c r="BJ83" s="307"/>
      <c r="BK83" s="308"/>
      <c r="BL83" s="306"/>
      <c r="BM83" s="307"/>
      <c r="BN83" s="307"/>
      <c r="BO83" s="308"/>
      <c r="BP83" s="375"/>
      <c r="BQ83" s="375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5.75" outlineLevel="1" thickBot="1" x14ac:dyDescent="0.3">
      <c r="A84" s="135" t="s">
        <v>97</v>
      </c>
      <c r="B84" s="22" t="s">
        <v>58</v>
      </c>
      <c r="C84" s="136"/>
      <c r="D84" s="25" t="s">
        <v>61</v>
      </c>
      <c r="E84" s="136"/>
      <c r="F84" s="136"/>
      <c r="G84" s="137"/>
      <c r="H84" s="136"/>
      <c r="I84" s="195"/>
      <c r="J84" s="196">
        <f>SUM(J14:J83)</f>
        <v>1.3562668091522123E-3</v>
      </c>
      <c r="K84" s="136"/>
      <c r="L84" s="138"/>
      <c r="M84" s="136"/>
      <c r="N84" s="139"/>
      <c r="O84" s="140"/>
      <c r="P84" s="79"/>
      <c r="Q84" s="80"/>
      <c r="R84" s="80"/>
      <c r="S84" s="81"/>
      <c r="T84" s="79"/>
      <c r="U84" s="80"/>
      <c r="V84" s="80"/>
      <c r="W84" s="81"/>
      <c r="X84" s="79"/>
      <c r="Y84" s="80"/>
      <c r="Z84" s="80"/>
      <c r="AA84" s="81"/>
      <c r="AB84" s="79"/>
      <c r="AC84" s="80"/>
      <c r="AD84" s="80"/>
      <c r="AE84" s="81"/>
      <c r="AF84" s="79"/>
      <c r="AG84" s="80"/>
      <c r="AH84" s="80"/>
      <c r="AI84" s="81"/>
      <c r="AJ84" s="79"/>
      <c r="AK84" s="80"/>
      <c r="AL84" s="80"/>
      <c r="AM84" s="81"/>
      <c r="AN84" s="79"/>
      <c r="AO84" s="80"/>
      <c r="AP84" s="80"/>
      <c r="AQ84" s="81"/>
      <c r="AR84" s="79"/>
      <c r="AS84" s="80"/>
      <c r="AT84" s="80"/>
      <c r="AU84" s="81"/>
      <c r="AV84" s="79"/>
      <c r="AW84" s="80"/>
      <c r="AX84" s="80"/>
      <c r="AY84" s="81"/>
      <c r="AZ84" s="79"/>
      <c r="BA84" s="80"/>
      <c r="BB84" s="80"/>
      <c r="BC84" s="81"/>
      <c r="BD84" s="79"/>
      <c r="BE84" s="80"/>
      <c r="BF84" s="80"/>
      <c r="BG84" s="81"/>
      <c r="BH84" s="79"/>
      <c r="BI84" s="80"/>
      <c r="BJ84" s="80"/>
      <c r="BK84" s="81"/>
      <c r="BL84" s="79"/>
      <c r="BM84" s="80"/>
      <c r="BN84" s="80"/>
      <c r="BO84" s="81"/>
      <c r="BP84" s="376"/>
      <c r="BQ84" s="376"/>
    </row>
    <row r="85" spans="1:100" x14ac:dyDescent="0.25">
      <c r="B85" s="64" t="s">
        <v>73</v>
      </c>
      <c r="AZ85" s="36"/>
      <c r="BA85" s="36"/>
      <c r="BB85" s="36"/>
      <c r="BC85" s="36"/>
      <c r="BD85" s="36"/>
      <c r="BE85" s="36"/>
      <c r="BF85" s="36"/>
      <c r="BG85" s="36"/>
      <c r="BH85" s="62"/>
      <c r="BI85" s="62"/>
      <c r="BJ85" s="62"/>
      <c r="BK85" s="62"/>
      <c r="BL85" s="62"/>
      <c r="BM85" s="62"/>
      <c r="BN85" s="62"/>
      <c r="BO85" s="62"/>
      <c r="BP85"/>
    </row>
    <row r="86" spans="1:100" x14ac:dyDescent="0.25">
      <c r="AZ86" s="36"/>
      <c r="BA86" s="36"/>
      <c r="BB86" s="36"/>
      <c r="BC86" s="36"/>
      <c r="BD86" s="36"/>
      <c r="BE86" s="36"/>
      <c r="BF86" s="36"/>
      <c r="BG86" s="36"/>
      <c r="BH86" s="62"/>
      <c r="BI86" s="62"/>
      <c r="BJ86" s="62"/>
      <c r="BK86" s="62"/>
      <c r="BL86" s="62"/>
      <c r="BM86" s="62"/>
      <c r="BN86" s="62"/>
      <c r="BO86" s="62"/>
      <c r="BP86"/>
    </row>
    <row r="87" spans="1:100" x14ac:dyDescent="0.25">
      <c r="AZ87" s="36"/>
      <c r="BA87" s="36"/>
      <c r="BB87" s="36"/>
      <c r="BC87" s="36"/>
      <c r="BD87" s="36"/>
      <c r="BE87" s="36"/>
      <c r="BF87" s="36"/>
      <c r="BG87" s="36"/>
      <c r="BH87" s="62"/>
      <c r="BI87" s="62"/>
      <c r="BJ87" s="62"/>
      <c r="BK87" s="62"/>
      <c r="BL87" s="62"/>
      <c r="BM87" s="62"/>
      <c r="BN87" s="62"/>
      <c r="BO87" s="62"/>
      <c r="BP87"/>
    </row>
    <row r="88" spans="1:100" x14ac:dyDescent="0.25">
      <c r="A88" s="19"/>
      <c r="B88" s="19" t="s">
        <v>43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AZ88" s="36"/>
      <c r="BA88" s="36"/>
      <c r="BB88" s="36"/>
      <c r="BC88" s="36"/>
      <c r="BD88" s="36"/>
      <c r="BE88" s="36"/>
      <c r="BF88" s="36"/>
      <c r="BG88" s="36"/>
      <c r="BH88" s="62"/>
      <c r="BI88" s="62"/>
      <c r="BJ88" s="62"/>
      <c r="BK88" s="62"/>
      <c r="BL88" s="62"/>
      <c r="BM88" s="62"/>
      <c r="BN88" s="62"/>
      <c r="BO88" s="62"/>
      <c r="BP88"/>
    </row>
    <row r="89" spans="1:100" x14ac:dyDescent="0.25">
      <c r="A89" s="19" t="s">
        <v>120</v>
      </c>
      <c r="B89" s="216" t="s">
        <v>128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AZ89" s="36"/>
      <c r="BA89" s="36"/>
      <c r="BB89" s="36"/>
      <c r="BC89" s="36"/>
      <c r="BD89" s="36"/>
      <c r="BE89" s="36"/>
      <c r="BF89" s="36"/>
      <c r="BG89" s="36"/>
      <c r="BH89" s="62"/>
      <c r="BI89" s="62"/>
      <c r="BJ89" s="62"/>
      <c r="BK89" s="62"/>
      <c r="BL89" s="62"/>
      <c r="BM89" s="62"/>
      <c r="BN89" s="62"/>
      <c r="BO89" s="62"/>
      <c r="BP89"/>
    </row>
    <row r="90" spans="1:100" x14ac:dyDescent="0.25">
      <c r="A90" s="19" t="s">
        <v>129</v>
      </c>
      <c r="B90" s="267" t="s">
        <v>130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AZ90" s="36"/>
      <c r="BA90" s="36"/>
      <c r="BB90" s="36"/>
      <c r="BC90" s="36"/>
      <c r="BD90" s="36"/>
      <c r="BE90" s="36"/>
      <c r="BF90" s="36"/>
      <c r="BG90" s="36"/>
      <c r="BH90" s="62"/>
      <c r="BI90" s="62"/>
      <c r="BJ90" s="62"/>
      <c r="BK90" s="62"/>
      <c r="BL90" s="62"/>
      <c r="BM90" s="62"/>
      <c r="BN90" s="62"/>
      <c r="BO90" s="62"/>
      <c r="BP90"/>
    </row>
    <row r="91" spans="1:100" x14ac:dyDescent="0.25">
      <c r="AZ91" s="36"/>
      <c r="BA91" s="36"/>
      <c r="BB91" s="36"/>
      <c r="BC91" s="36"/>
      <c r="BD91" s="36"/>
      <c r="BE91" s="36"/>
      <c r="BF91" s="36"/>
      <c r="BG91" s="36"/>
      <c r="BH91" s="62"/>
      <c r="BI91" s="62"/>
      <c r="BJ91" s="62"/>
      <c r="BK91" s="62"/>
      <c r="BL91" s="62"/>
      <c r="BM91" s="62"/>
      <c r="BN91" s="62"/>
      <c r="BO91" s="62"/>
      <c r="BP91"/>
    </row>
    <row r="92" spans="1:100" x14ac:dyDescent="0.25">
      <c r="BH92" s="62"/>
      <c r="BI92" s="62"/>
      <c r="BJ92" s="62"/>
      <c r="BK92" s="62"/>
      <c r="BL92" s="62"/>
      <c r="BM92" s="62"/>
      <c r="BN92" s="62"/>
      <c r="BO92" s="62"/>
      <c r="BP92"/>
    </row>
    <row r="93" spans="1:100" x14ac:dyDescent="0.25">
      <c r="BH93" s="62"/>
      <c r="BI93" s="62"/>
      <c r="BJ93" s="62"/>
      <c r="BK93" s="62"/>
      <c r="BL93" s="62"/>
      <c r="BM93" s="62"/>
      <c r="BN93" s="62"/>
      <c r="BO93" s="62"/>
      <c r="BP93"/>
    </row>
  </sheetData>
  <mergeCells count="494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N10"/>
    <mergeCell ref="O10:O11"/>
    <mergeCell ref="P5:AE5"/>
    <mergeCell ref="H6:AP6"/>
    <mergeCell ref="H7:AP7"/>
    <mergeCell ref="P10:AE10"/>
    <mergeCell ref="AF10:BO10"/>
    <mergeCell ref="AN11:AQ11"/>
    <mergeCell ref="AR11:AU11"/>
    <mergeCell ref="AV11:AY11"/>
    <mergeCell ref="BP10:BP11"/>
    <mergeCell ref="BQ10:BQ11"/>
    <mergeCell ref="P11:S11"/>
    <mergeCell ref="T11:W11"/>
    <mergeCell ref="X11:AA11"/>
    <mergeCell ref="AB11:AE11"/>
    <mergeCell ref="AF11:AI11"/>
    <mergeCell ref="AJ11:AM11"/>
    <mergeCell ref="BL11:BO11"/>
    <mergeCell ref="AZ11:BC11"/>
    <mergeCell ref="BD11:BG11"/>
    <mergeCell ref="BH11:BK11"/>
    <mergeCell ref="BL12:BO12"/>
    <mergeCell ref="A14:A15"/>
    <mergeCell ref="B14:B15"/>
    <mergeCell ref="C14:C15"/>
    <mergeCell ref="D14:D15"/>
    <mergeCell ref="E14:E15"/>
    <mergeCell ref="F14:F15"/>
    <mergeCell ref="AN12:AQ12"/>
    <mergeCell ref="AR12:AU12"/>
    <mergeCell ref="AV12:AY12"/>
    <mergeCell ref="AZ12:BC12"/>
    <mergeCell ref="BD12:BG12"/>
    <mergeCell ref="BH12:BK12"/>
    <mergeCell ref="P12:S12"/>
    <mergeCell ref="T12:W12"/>
    <mergeCell ref="X12:AA12"/>
    <mergeCell ref="AB12:AE12"/>
    <mergeCell ref="AF12:AI12"/>
    <mergeCell ref="AJ12:AM12"/>
    <mergeCell ref="I16:I17"/>
    <mergeCell ref="J16:J17"/>
    <mergeCell ref="K16:K17"/>
    <mergeCell ref="L16:L17"/>
    <mergeCell ref="M16:M17"/>
    <mergeCell ref="N16:N17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G14:G15"/>
    <mergeCell ref="H14:H15"/>
    <mergeCell ref="I14:I15"/>
    <mergeCell ref="J14:J15"/>
    <mergeCell ref="K14:K15"/>
    <mergeCell ref="L14:L15"/>
    <mergeCell ref="N20:N21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C22:C23"/>
    <mergeCell ref="D22:D23"/>
    <mergeCell ref="E22:E23"/>
    <mergeCell ref="F22:F23"/>
    <mergeCell ref="I20:I21"/>
    <mergeCell ref="J20:J21"/>
    <mergeCell ref="K20:K21"/>
    <mergeCell ref="L20:L21"/>
    <mergeCell ref="M20:M21"/>
    <mergeCell ref="I24:I25"/>
    <mergeCell ref="J24:J25"/>
    <mergeCell ref="K24:K25"/>
    <mergeCell ref="L24:L25"/>
    <mergeCell ref="M24:M25"/>
    <mergeCell ref="N24:N25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K22:K23"/>
    <mergeCell ref="L22:L23"/>
    <mergeCell ref="A22:A23"/>
    <mergeCell ref="B22:B23"/>
    <mergeCell ref="N28:N29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C30:C31"/>
    <mergeCell ref="D30:D31"/>
    <mergeCell ref="E30:E31"/>
    <mergeCell ref="F30:F31"/>
    <mergeCell ref="I28:I29"/>
    <mergeCell ref="J28:J29"/>
    <mergeCell ref="K28:K29"/>
    <mergeCell ref="L28:L29"/>
    <mergeCell ref="M28:M29"/>
    <mergeCell ref="I32:I33"/>
    <mergeCell ref="J32:J33"/>
    <mergeCell ref="K32:K33"/>
    <mergeCell ref="L32:L33"/>
    <mergeCell ref="M32:M33"/>
    <mergeCell ref="N32:N33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A30:A31"/>
    <mergeCell ref="B30:B31"/>
    <mergeCell ref="N36:N37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I40:I41"/>
    <mergeCell ref="J40:J41"/>
    <mergeCell ref="K40:K41"/>
    <mergeCell ref="L40:L41"/>
    <mergeCell ref="M40:M41"/>
    <mergeCell ref="N40:N41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G38:G39"/>
    <mergeCell ref="H38:H39"/>
    <mergeCell ref="I38:I39"/>
    <mergeCell ref="J38:J39"/>
    <mergeCell ref="K38:K39"/>
    <mergeCell ref="L38:L39"/>
    <mergeCell ref="A38:A39"/>
    <mergeCell ref="B38:B39"/>
    <mergeCell ref="N44:N45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C47:C48"/>
    <mergeCell ref="D47:D48"/>
    <mergeCell ref="E47:E48"/>
    <mergeCell ref="F47:F48"/>
    <mergeCell ref="I44:I45"/>
    <mergeCell ref="J44:J45"/>
    <mergeCell ref="K44:K45"/>
    <mergeCell ref="L44:L45"/>
    <mergeCell ref="M44:M45"/>
    <mergeCell ref="I49:I50"/>
    <mergeCell ref="J49:J50"/>
    <mergeCell ref="K49:K50"/>
    <mergeCell ref="L49:L50"/>
    <mergeCell ref="M49:M50"/>
    <mergeCell ref="N49:N50"/>
    <mergeCell ref="M47:M48"/>
    <mergeCell ref="N47:N48"/>
    <mergeCell ref="A49:A50"/>
    <mergeCell ref="B49:B50"/>
    <mergeCell ref="C49:C50"/>
    <mergeCell ref="D49:D50"/>
    <mergeCell ref="E49:E50"/>
    <mergeCell ref="F49:F50"/>
    <mergeCell ref="G49:G50"/>
    <mergeCell ref="H49:H50"/>
    <mergeCell ref="G47:G48"/>
    <mergeCell ref="H47:H48"/>
    <mergeCell ref="I47:I48"/>
    <mergeCell ref="J47:J48"/>
    <mergeCell ref="K47:K48"/>
    <mergeCell ref="L47:L48"/>
    <mergeCell ref="A47:A48"/>
    <mergeCell ref="B47:B48"/>
    <mergeCell ref="N53:N54"/>
    <mergeCell ref="M51:M52"/>
    <mergeCell ref="N51:N52"/>
    <mergeCell ref="A53:A54"/>
    <mergeCell ref="B53:B54"/>
    <mergeCell ref="C53:C54"/>
    <mergeCell ref="D53:D54"/>
    <mergeCell ref="E53:E54"/>
    <mergeCell ref="F53:F54"/>
    <mergeCell ref="G53:G54"/>
    <mergeCell ref="H53:H54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I53:I54"/>
    <mergeCell ref="J53:J54"/>
    <mergeCell ref="K53:K54"/>
    <mergeCell ref="L53:L54"/>
    <mergeCell ref="M53:M54"/>
    <mergeCell ref="I58:I59"/>
    <mergeCell ref="J58:J59"/>
    <mergeCell ref="K58:K59"/>
    <mergeCell ref="L58:L59"/>
    <mergeCell ref="M58:M59"/>
    <mergeCell ref="N58:N59"/>
    <mergeCell ref="M55:M56"/>
    <mergeCell ref="N55:N56"/>
    <mergeCell ref="A58:A59"/>
    <mergeCell ref="B58:B59"/>
    <mergeCell ref="C58:C59"/>
    <mergeCell ref="D58:D59"/>
    <mergeCell ref="E58:E59"/>
    <mergeCell ref="F58:F59"/>
    <mergeCell ref="G58:G59"/>
    <mergeCell ref="H58:H59"/>
    <mergeCell ref="G55:G56"/>
    <mergeCell ref="H55:H56"/>
    <mergeCell ref="I55:I56"/>
    <mergeCell ref="J55:J56"/>
    <mergeCell ref="K55:K56"/>
    <mergeCell ref="L55:L56"/>
    <mergeCell ref="A55:A56"/>
    <mergeCell ref="B55:B56"/>
    <mergeCell ref="N62:N63"/>
    <mergeCell ref="M60:M61"/>
    <mergeCell ref="N60:N61"/>
    <mergeCell ref="A62:A63"/>
    <mergeCell ref="B62:B63"/>
    <mergeCell ref="C62:C63"/>
    <mergeCell ref="D62:D63"/>
    <mergeCell ref="E62:E63"/>
    <mergeCell ref="F62:F63"/>
    <mergeCell ref="G62:G63"/>
    <mergeCell ref="H62:H63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I62:I63"/>
    <mergeCell ref="J62:J63"/>
    <mergeCell ref="K62:K63"/>
    <mergeCell ref="L62:L63"/>
    <mergeCell ref="M62:M63"/>
    <mergeCell ref="I67:I68"/>
    <mergeCell ref="J67:J68"/>
    <mergeCell ref="K67:K68"/>
    <mergeCell ref="L67:L68"/>
    <mergeCell ref="M67:M68"/>
    <mergeCell ref="N67:N68"/>
    <mergeCell ref="M64:M65"/>
    <mergeCell ref="N64:N65"/>
    <mergeCell ref="A67:A68"/>
    <mergeCell ref="B67:B68"/>
    <mergeCell ref="C67:C68"/>
    <mergeCell ref="D67:D68"/>
    <mergeCell ref="E67:E68"/>
    <mergeCell ref="F67:F68"/>
    <mergeCell ref="G67:G68"/>
    <mergeCell ref="H67:H68"/>
    <mergeCell ref="G64:G65"/>
    <mergeCell ref="H64:H65"/>
    <mergeCell ref="I64:I65"/>
    <mergeCell ref="J64:J65"/>
    <mergeCell ref="K64:K65"/>
    <mergeCell ref="L64:L65"/>
    <mergeCell ref="A64:A65"/>
    <mergeCell ref="B64:B65"/>
    <mergeCell ref="L69:L70"/>
    <mergeCell ref="M69:M70"/>
    <mergeCell ref="N69:N70"/>
    <mergeCell ref="A71:A72"/>
    <mergeCell ref="B71:B72"/>
    <mergeCell ref="C71:C72"/>
    <mergeCell ref="F71:F72"/>
    <mergeCell ref="G71:G72"/>
    <mergeCell ref="I71:I72"/>
    <mergeCell ref="K71:K72"/>
    <mergeCell ref="A69:A70"/>
    <mergeCell ref="B69:B70"/>
    <mergeCell ref="C69:C70"/>
    <mergeCell ref="F69:F70"/>
    <mergeCell ref="G69:G70"/>
    <mergeCell ref="K69:K70"/>
    <mergeCell ref="L71:L72"/>
    <mergeCell ref="M71:M72"/>
    <mergeCell ref="N71:N72"/>
    <mergeCell ref="A73:A74"/>
    <mergeCell ref="B73:B74"/>
    <mergeCell ref="C73:C74"/>
    <mergeCell ref="F73:F74"/>
    <mergeCell ref="G73:G74"/>
    <mergeCell ref="I73:I74"/>
    <mergeCell ref="K73:K74"/>
    <mergeCell ref="L73:L74"/>
    <mergeCell ref="M73:M74"/>
    <mergeCell ref="N73:N74"/>
    <mergeCell ref="BP78:BP84"/>
    <mergeCell ref="BQ78:BQ84"/>
    <mergeCell ref="P80:S80"/>
    <mergeCell ref="T80:W80"/>
    <mergeCell ref="X80:AA80"/>
    <mergeCell ref="AB80:AE80"/>
    <mergeCell ref="AF80:AI80"/>
    <mergeCell ref="BH80:BK80"/>
    <mergeCell ref="BL80:BO80"/>
    <mergeCell ref="P81:S81"/>
    <mergeCell ref="T81:W81"/>
    <mergeCell ref="X81:AA81"/>
    <mergeCell ref="AB81:AE81"/>
    <mergeCell ref="AF81:AI81"/>
    <mergeCell ref="AJ80:AM80"/>
    <mergeCell ref="AN80:AQ80"/>
    <mergeCell ref="AR80:AU80"/>
    <mergeCell ref="AV80:AY80"/>
    <mergeCell ref="AZ80:BC80"/>
    <mergeCell ref="BD80:BG80"/>
    <mergeCell ref="BH81:BK81"/>
    <mergeCell ref="BL81:BO81"/>
    <mergeCell ref="P82:S82"/>
    <mergeCell ref="BD81:BG81"/>
    <mergeCell ref="BH82:BK82"/>
    <mergeCell ref="BL82:BO82"/>
    <mergeCell ref="P83:S83"/>
    <mergeCell ref="T83:W83"/>
    <mergeCell ref="X83:AA83"/>
    <mergeCell ref="AB83:AE83"/>
    <mergeCell ref="AF83:AI83"/>
    <mergeCell ref="AJ82:AM82"/>
    <mergeCell ref="AN82:AQ82"/>
    <mergeCell ref="AR82:AU82"/>
    <mergeCell ref="AV82:AY82"/>
    <mergeCell ref="AZ82:BC82"/>
    <mergeCell ref="BD82:BG82"/>
    <mergeCell ref="T82:W82"/>
    <mergeCell ref="X82:AA82"/>
    <mergeCell ref="AB82:AE82"/>
    <mergeCell ref="AF82:AI82"/>
    <mergeCell ref="AJ81:AM81"/>
    <mergeCell ref="AN81:AQ81"/>
    <mergeCell ref="AR81:AU81"/>
    <mergeCell ref="AV81:AY81"/>
    <mergeCell ref="AZ81:BC81"/>
    <mergeCell ref="B90:T90"/>
    <mergeCell ref="BH83:BK83"/>
    <mergeCell ref="BL83:BO83"/>
    <mergeCell ref="AJ83:AM83"/>
    <mergeCell ref="AN83:AQ83"/>
    <mergeCell ref="AR83:AU83"/>
    <mergeCell ref="AV83:AY83"/>
    <mergeCell ref="AZ83:BC83"/>
    <mergeCell ref="BD83:BG83"/>
  </mergeCells>
  <pageMargins left="0.23622047244094491" right="0.23622047244094491" top="0.74803149606299213" bottom="0.74803149606299213" header="0.31496062992125984" footer="0.31496062992125984"/>
  <pageSetup paperSize="8" scale="3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1я очередь. РЕД1</vt:lpstr>
      <vt:lpstr>1я очередь 17.10</vt:lpstr>
      <vt:lpstr>1я очередь 18.10 </vt:lpstr>
      <vt:lpstr>'1я очередь 17.10'!Заголовки_для_печати</vt:lpstr>
      <vt:lpstr>'1я очередь 18.10 '!Заголовки_для_печати</vt:lpstr>
      <vt:lpstr>'1я очередь. РЕД1'!Заголовки_для_печати</vt:lpstr>
      <vt:lpstr>'1я очередь 17.10'!Область_печати</vt:lpstr>
      <vt:lpstr>'1я очередь 18.10 '!Область_печати</vt:lpstr>
      <vt:lpstr>'1я очередь. РЕД1'!Область_печати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СамоцветовВВ</cp:lastModifiedBy>
  <cp:lastPrinted>2022-09-23T12:25:54Z</cp:lastPrinted>
  <dcterms:created xsi:type="dcterms:W3CDTF">2015-06-05T18:19:34Z</dcterms:created>
  <dcterms:modified xsi:type="dcterms:W3CDTF">2022-10-18T13:12:36Z</dcterms:modified>
</cp:coreProperties>
</file>